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1. Product Setup" sheetId="1" state="visible" r:id="rId1"/>
    <sheet xmlns:r="http://schemas.openxmlformats.org/officeDocument/2006/relationships" name="2. Ops Planning" sheetId="2" state="visible" r:id="rId2"/>
    <sheet xmlns:r="http://schemas.openxmlformats.org/officeDocument/2006/relationships" name="3. Sales Planning" sheetId="3" state="visible" r:id="rId3"/>
    <sheet xmlns:r="http://schemas.openxmlformats.org/officeDocument/2006/relationships" name="4. Fin Planning P&amp;L" sheetId="4" state="visible" r:id="rId4"/>
    <sheet xmlns:r="http://schemas.openxmlformats.org/officeDocument/2006/relationships" name="5. Fin Planning Cash Flow" sheetId="5" state="visible" r:id="rId5"/>
    <sheet xmlns:r="http://schemas.openxmlformats.org/officeDocument/2006/relationships" name="6. Dashboar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9">
    <numFmt numFmtId="164" formatCode="_(\$* #,##0.00_);_(\$* \(#,##0.00\);_(\$* \-??_);_(@_)"/>
    <numFmt numFmtId="165" formatCode="0.0%"/>
    <numFmt numFmtId="166" formatCode="_(\$* #,##0_);_(\$* \(#,##0\);_(\$* \-_);_(@_)"/>
    <numFmt numFmtId="167" formatCode="dd\ mmm\ yy"/>
    <numFmt numFmtId="168" formatCode="#,##0;\(#,##0\);\-"/>
    <numFmt numFmtId="169" formatCode="0.0"/>
    <numFmt numFmtId="170" formatCode="yyyy-mm-dd"/>
    <numFmt numFmtId="171" formatCode="DD MMM YY"/>
    <numFmt numFmtId="172" formatCode="$#,##0"/>
  </numFmts>
  <fonts count="22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color rgb="FF1F4788"/>
      <sz val="14"/>
    </font>
    <font>
      <name val="Cambria"/>
      <charset val="1"/>
      <family val="0"/>
      <b val="1"/>
      <color rgb="FFFFFFFF"/>
      <sz val="11"/>
    </font>
    <font>
      <name val="Cambria"/>
      <charset val="1"/>
      <family val="0"/>
      <b val="1"/>
      <sz val="11"/>
    </font>
    <font>
      <name val="Cambria"/>
      <charset val="1"/>
      <family val="0"/>
      <color rgb="FF0070C0"/>
      <sz val="11"/>
    </font>
    <font>
      <name val="Calibri"/>
      <charset val="1"/>
      <family val="0"/>
      <color rgb="FF0070C0"/>
      <sz val="10"/>
    </font>
    <font>
      <name val="Cambria"/>
      <charset val="1"/>
      <family val="0"/>
      <color rgb="FF008000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b val="1"/>
      <color rgb="FFFFFFFF"/>
      <sz val="11"/>
    </font>
    <font>
      <name val="Cambria"/>
      <charset val="1"/>
      <family val="0"/>
      <b val="1"/>
      <color rgb="FF000000"/>
      <sz val="10"/>
    </font>
    <font>
      <name val="Cambria"/>
      <charset val="1"/>
      <family val="0"/>
      <b val="1"/>
      <color rgb="FFFFFFFF"/>
      <sz val="10"/>
    </font>
    <font>
      <name val="Arial"/>
      <family val="2"/>
      <sz val="10"/>
    </font>
    <font>
      <name val="Calibri"/>
      <charset val="1"/>
      <family val="0"/>
      <b val="1"/>
      <sz val="10"/>
    </font>
    <font>
      <b val="1"/>
      <color rgb="00FFFFFF"/>
      <sz val="16"/>
    </font>
    <font>
      <b val="1"/>
      <color rgb="001F4E79"/>
    </font>
    <font>
      <b val="1"/>
      <color rgb="00FFFFFF"/>
    </font>
    <font>
      <b val="1"/>
    </font>
    <font>
      <b val="1"/>
      <color rgb="00FFFFFF"/>
      <sz val="18"/>
    </font>
    <font>
      <b val="1"/>
      <color rgb="001F4E79"/>
      <sz val="14"/>
    </font>
  </fonts>
  <fills count="13">
    <fill>
      <patternFill/>
    </fill>
    <fill>
      <patternFill patternType="gray125"/>
    </fill>
    <fill>
      <patternFill patternType="solid">
        <fgColor rgb="FF2B579A"/>
        <bgColor rgb="FF1F4788"/>
      </patternFill>
    </fill>
    <fill>
      <patternFill patternType="solid">
        <fgColor rgb="FFE7F3FF"/>
        <bgColor rgb="FFFFFFFF"/>
      </patternFill>
    </fill>
    <fill>
      <patternFill patternType="solid">
        <fgColor rgb="FF5B9BD5"/>
        <bgColor rgb="FF969696"/>
      </patternFill>
    </fill>
    <fill>
      <patternFill patternType="solid">
        <fgColor rgb="FFD9D9D9"/>
        <bgColor rgb="FFCCCCCC"/>
      </patternFill>
    </fill>
    <fill>
      <patternFill patternType="solid">
        <fgColor rgb="FF1F4788"/>
        <bgColor rgb="FF2B579A"/>
      </patternFill>
    </fill>
    <fill>
      <patternFill patternType="solid">
        <fgColor rgb="FFFFF2CC"/>
        <bgColor rgb="FFFFFFFF"/>
      </patternFill>
    </fill>
    <fill>
      <patternFill patternType="solid">
        <fgColor rgb="001F4E79"/>
      </patternFill>
    </fill>
    <fill>
      <patternFill patternType="solid">
        <fgColor rgb="00DFE3F5"/>
      </patternFill>
    </fill>
    <fill>
      <patternFill patternType="solid">
        <fgColor rgb="004F81BD"/>
      </patternFill>
    </fill>
    <fill>
      <patternFill patternType="solid">
        <fgColor rgb="00B4C6E7"/>
      </patternFill>
    </fill>
    <fill>
      <patternFill patternType="solid">
        <fgColor rgb="00E7EFF8"/>
      </patternFill>
    </fill>
  </fills>
  <borders count="17">
    <border>
      <left/>
      <right/>
      <top/>
      <bottom/>
      <diagonal/>
    </border>
    <border>
      <left style="thin">
        <color rgb="FFB8B8B8"/>
      </left>
      <right style="thin">
        <color rgb="FFB8B8B8"/>
      </right>
      <top style="thin">
        <color rgb="FFB8B8B8"/>
      </top>
      <bottom style="thin">
        <color rgb="FFB8B8B8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double"/>
      <bottom/>
      <diagonal/>
    </border>
    <border>
      <left/>
      <right/>
      <top style="thin">
        <color rgb="FFB8B8B8"/>
      </top>
      <bottom/>
      <diagonal/>
    </border>
    <border>
      <left/>
      <right style="thin">
        <color rgb="FFB8B8B8"/>
      </right>
      <top style="thin">
        <color rgb="FFB8B8B8"/>
      </top>
      <bottom/>
      <diagonal/>
    </border>
    <border>
      <left/>
      <right/>
      <top style="thin">
        <color rgb="FFB8B8B8"/>
      </top>
      <bottom style="thin">
        <color rgb="FFB8B8B8"/>
      </bottom>
      <diagonal/>
    </border>
    <border>
      <left/>
      <right style="thin">
        <color rgb="FFB8B8B8"/>
      </right>
      <top style="thin">
        <color rgb="FFB8B8B8"/>
      </top>
      <bottom style="thin">
        <color rgb="FFB8B8B8"/>
      </bottom>
      <diagonal/>
    </border>
    <border>
      <left style="thin">
        <color rgb="00D0D3DA"/>
      </left>
      <right style="thin">
        <color rgb="00D0D3DA"/>
      </right>
      <top style="thin">
        <color rgb="00D0D3DA"/>
      </top>
      <bottom style="thin">
        <color rgb="00D0D3DA"/>
      </bottom>
    </border>
    <border>
      <left/>
      <right/>
      <top style="thin">
        <color rgb="00D0D3DA"/>
      </top>
      <bottom/>
      <diagonal/>
    </border>
    <border>
      <left/>
      <right style="thin">
        <color rgb="00D0D3DA"/>
      </right>
      <top style="thin">
        <color rgb="00D0D3DA"/>
      </top>
      <bottom/>
      <diagonal/>
    </border>
    <border>
      <left/>
      <right style="thin">
        <color rgb="00D0D3DA"/>
      </right>
      <top style="thin">
        <color rgb="00D0D3DA"/>
      </top>
      <bottom style="thin">
        <color rgb="00D0D3DA"/>
      </bottom>
      <diagonal/>
    </border>
    <border>
      <left/>
      <right/>
      <top style="thin">
        <color rgb="00D0D3DA"/>
      </top>
      <bottom style="thin">
        <color rgb="00D0D3DA"/>
      </bottom>
      <diagonal/>
    </border>
    <border>
      <left/>
      <right/>
      <top/>
      <bottom style="thin">
        <color rgb="00D0D3DA"/>
      </bottom>
      <diagonal/>
    </border>
    <border>
      <left/>
      <right style="thin">
        <color rgb="00D0D3DA"/>
      </right>
      <top/>
      <bottom style="thin">
        <color rgb="00D0D3DA"/>
      </bottom>
      <diagonal/>
    </border>
    <border>
      <left/>
      <right style="thin">
        <color rgb="00D0D3DA"/>
      </right>
      <top/>
      <bottom/>
      <diagonal/>
    </border>
    <border/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bottom"/>
    </xf>
    <xf numFmtId="164" fontId="7" fillId="3" borderId="1" applyAlignment="1" pivotButton="0" quotePrefix="0" xfId="0">
      <alignment horizontal="general" vertical="bottom"/>
    </xf>
    <xf numFmtId="165" fontId="7" fillId="3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4" borderId="1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166" fontId="7" fillId="3" borderId="1" applyAlignment="1" pivotButton="0" quotePrefix="0" xfId="0">
      <alignment horizontal="general" vertical="bottom"/>
    </xf>
    <xf numFmtId="1" fontId="7" fillId="3" borderId="1" applyAlignment="1" pivotButton="0" quotePrefix="0" xfId="0">
      <alignment horizontal="general" vertical="bottom"/>
    </xf>
    <xf numFmtId="166" fontId="8" fillId="3" borderId="2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 vertical="center"/>
    </xf>
    <xf numFmtId="167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general" vertical="bottom"/>
    </xf>
    <xf numFmtId="0" fontId="5" fillId="6" borderId="1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/>
    </xf>
    <xf numFmtId="0" fontId="12" fillId="4" borderId="2" applyAlignment="1" pivotButton="0" quotePrefix="0" xfId="0">
      <alignment horizontal="center" vertical="center" wrapText="1"/>
    </xf>
    <xf numFmtId="0" fontId="13" fillId="2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bottom"/>
    </xf>
    <xf numFmtId="0" fontId="6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167" fontId="0" fillId="0" borderId="2" applyAlignment="1" pivotButton="0" quotePrefix="0" xfId="0">
      <alignment horizontal="center" vertical="bottom"/>
    </xf>
    <xf numFmtId="168" fontId="0" fillId="0" borderId="2" applyAlignment="1" pivotButton="0" quotePrefix="0" xfId="0">
      <alignment horizontal="center" vertical="bottom"/>
    </xf>
    <xf numFmtId="168" fontId="8" fillId="3" borderId="2" applyAlignment="1" pivotButton="0" quotePrefix="0" xfId="0">
      <alignment horizontal="center" vertical="bottom"/>
    </xf>
    <xf numFmtId="168" fontId="6" fillId="0" borderId="2" applyAlignment="1" pivotButton="0" quotePrefix="0" xfId="0">
      <alignment horizontal="center" vertical="bottom"/>
    </xf>
    <xf numFmtId="169" fontId="10" fillId="0" borderId="1" applyAlignment="1" pivotButton="0" quotePrefix="0" xfId="0">
      <alignment horizontal="center" vertical="center"/>
    </xf>
    <xf numFmtId="1" fontId="10" fillId="0" borderId="1" applyAlignment="1" pivotButton="0" quotePrefix="0" xfId="0">
      <alignment horizontal="center" vertical="center"/>
    </xf>
    <xf numFmtId="0" fontId="6" fillId="7" borderId="2" applyAlignment="1" pivotButton="0" quotePrefix="0" xfId="0">
      <alignment horizontal="center" vertical="bottom"/>
    </xf>
    <xf numFmtId="167" fontId="0" fillId="7" borderId="2" applyAlignment="1" pivotButton="0" quotePrefix="0" xfId="0">
      <alignment horizontal="center" vertical="bottom"/>
    </xf>
    <xf numFmtId="168" fontId="0" fillId="7" borderId="2" applyAlignment="1" pivotButton="0" quotePrefix="0" xfId="0">
      <alignment horizontal="center" vertical="bottom"/>
    </xf>
    <xf numFmtId="168" fontId="8" fillId="7" borderId="2" applyAlignment="1" pivotButton="0" quotePrefix="0" xfId="0">
      <alignment horizontal="center" vertical="bottom"/>
    </xf>
    <xf numFmtId="168" fontId="6" fillId="7" borderId="2" applyAlignment="1" pivotButton="0" quotePrefix="0" xfId="0">
      <alignment horizontal="center" vertical="bottom"/>
    </xf>
    <xf numFmtId="169" fontId="10" fillId="7" borderId="1" applyAlignment="1" pivotButton="0" quotePrefix="0" xfId="0">
      <alignment horizontal="center" vertical="center"/>
    </xf>
    <xf numFmtId="1" fontId="10" fillId="7" borderId="1" applyAlignment="1" pivotButton="0" quotePrefix="0" xfId="0">
      <alignment horizontal="center" vertical="center"/>
    </xf>
    <xf numFmtId="166" fontId="0" fillId="0" borderId="2" applyAlignment="1" pivotButton="0" quotePrefix="0" xfId="0">
      <alignment horizontal="center" vertical="bottom"/>
    </xf>
    <xf numFmtId="166" fontId="6" fillId="0" borderId="2" applyAlignment="1" pivotButton="0" quotePrefix="0" xfId="0">
      <alignment horizontal="center" vertical="bottom"/>
    </xf>
    <xf numFmtId="165" fontId="0" fillId="0" borderId="2" applyAlignment="1" pivotButton="0" quotePrefix="0" xfId="0">
      <alignment horizontal="center" vertical="bottom"/>
    </xf>
    <xf numFmtId="166" fontId="0" fillId="7" borderId="2" applyAlignment="1" pivotButton="0" quotePrefix="0" xfId="0">
      <alignment horizontal="center" vertical="bottom"/>
    </xf>
    <xf numFmtId="166" fontId="6" fillId="7" borderId="2" applyAlignment="1" pivotButton="0" quotePrefix="0" xfId="0">
      <alignment horizontal="center" vertical="bottom"/>
    </xf>
    <xf numFmtId="165" fontId="0" fillId="7" borderId="2" applyAlignment="1" pivotButton="0" quotePrefix="0" xfId="0">
      <alignment horizontal="center" vertical="bottom"/>
    </xf>
    <xf numFmtId="0" fontId="6" fillId="0" borderId="3" applyAlignment="1" pivotButton="0" quotePrefix="0" xfId="0">
      <alignment horizontal="general" vertical="bottom"/>
    </xf>
    <xf numFmtId="166" fontId="6" fillId="0" borderId="3" applyAlignment="1" pivotButton="0" quotePrefix="0" xfId="0">
      <alignment horizontal="general" vertical="bottom"/>
    </xf>
    <xf numFmtId="166" fontId="8" fillId="3" borderId="2" applyAlignment="1" pivotButton="0" quotePrefix="0" xfId="0">
      <alignment horizontal="center" vertical="bottom"/>
    </xf>
    <xf numFmtId="166" fontId="8" fillId="7" borderId="2" applyAlignment="1" pivotButton="0" quotePrefix="0" xfId="0">
      <alignment horizontal="center" vertical="bottom"/>
    </xf>
    <xf numFmtId="166" fontId="0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168" fontId="6" fillId="0" borderId="0" applyAlignment="1" pivotButton="0" quotePrefix="0" xfId="0">
      <alignment horizontal="general" vertical="bottom"/>
    </xf>
    <xf numFmtId="166" fontId="6" fillId="0" borderId="0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16" fillId="8" borderId="0" applyAlignment="1" pivotButton="0" quotePrefix="0" xfId="0">
      <alignment horizontal="center" vertical="center"/>
    </xf>
    <xf numFmtId="0" fontId="17" fillId="9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bottom"/>
    </xf>
    <xf numFmtId="164" fontId="7" fillId="3" borderId="1" applyAlignment="1" pivotButton="0" quotePrefix="0" xfId="0">
      <alignment horizontal="general" vertical="bottom"/>
    </xf>
    <xf numFmtId="165" fontId="7" fillId="3" borderId="1" applyAlignment="1" pivotButton="0" quotePrefix="0" xfId="0">
      <alignment horizontal="general" vertical="bottom"/>
    </xf>
    <xf numFmtId="0" fontId="18" fillId="10" borderId="1" applyAlignment="1" pivotButton="0" quotePrefix="0" xfId="0">
      <alignment horizontal="left" vertical="center"/>
    </xf>
    <xf numFmtId="0" fontId="17" fillId="11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166" fontId="7" fillId="3" borderId="1" applyAlignment="1" pivotButton="0" quotePrefix="0" xfId="0">
      <alignment horizontal="general" vertical="bottom"/>
    </xf>
    <xf numFmtId="1" fontId="7" fillId="3" borderId="1" applyAlignment="1" pivotButton="0" quotePrefix="0" xfId="0">
      <alignment horizontal="general" vertical="bottom"/>
    </xf>
    <xf numFmtId="166" fontId="8" fillId="3" borderId="2" applyAlignment="1" pivotButton="0" quotePrefix="0" xfId="0">
      <alignment horizontal="general" vertical="bottom"/>
    </xf>
    <xf numFmtId="0" fontId="17" fillId="9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" fontId="7" fillId="3" borderId="1" applyAlignment="1" pivotButton="0" quotePrefix="0" xfId="0">
      <alignment horizontal="center" vertical="center"/>
    </xf>
    <xf numFmtId="170" fontId="0" fillId="0" borderId="1" applyAlignment="1" pivotButton="0" quotePrefix="0" xfId="0">
      <alignment horizontal="center" vertical="center"/>
    </xf>
    <xf numFmtId="170" fontId="9" fillId="0" borderId="1" applyAlignment="1" pivotButton="0" quotePrefix="0" xfId="0">
      <alignment horizontal="center" vertical="center"/>
    </xf>
    <xf numFmtId="1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18" fillId="1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7" fillId="9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bottom"/>
    </xf>
    <xf numFmtId="167" fontId="0" fillId="0" borderId="2" applyAlignment="1" pivotButton="0" quotePrefix="0" xfId="0">
      <alignment horizontal="center" vertical="bottom"/>
    </xf>
    <xf numFmtId="168" fontId="0" fillId="0" borderId="2" applyAlignment="1" pivotButton="0" quotePrefix="0" xfId="0">
      <alignment horizontal="center" vertical="bottom"/>
    </xf>
    <xf numFmtId="168" fontId="8" fillId="3" borderId="2" applyAlignment="1" pivotButton="0" quotePrefix="0" xfId="0">
      <alignment horizontal="center" vertical="bottom"/>
    </xf>
    <xf numFmtId="168" fontId="6" fillId="0" borderId="2" applyAlignment="1" pivotButton="0" quotePrefix="0" xfId="0">
      <alignment horizontal="center" vertical="bottom"/>
    </xf>
    <xf numFmtId="169" fontId="10" fillId="0" borderId="1" applyAlignment="1" pivotButton="0" quotePrefix="0" xfId="0">
      <alignment horizontal="center" vertical="center"/>
    </xf>
    <xf numFmtId="0" fontId="6" fillId="7" borderId="2" applyAlignment="1" pivotButton="0" quotePrefix="0" xfId="0">
      <alignment horizontal="center" vertical="bottom"/>
    </xf>
    <xf numFmtId="167" fontId="0" fillId="7" borderId="2" applyAlignment="1" pivotButton="0" quotePrefix="0" xfId="0">
      <alignment horizontal="center" vertical="bottom"/>
    </xf>
    <xf numFmtId="168" fontId="0" fillId="7" borderId="2" applyAlignment="1" pivotButton="0" quotePrefix="0" xfId="0">
      <alignment horizontal="center" vertical="bottom"/>
    </xf>
    <xf numFmtId="168" fontId="8" fillId="7" borderId="2" applyAlignment="1" pivotButton="0" quotePrefix="0" xfId="0">
      <alignment horizontal="center" vertical="bottom"/>
    </xf>
    <xf numFmtId="168" fontId="6" fillId="7" borderId="2" applyAlignment="1" pivotButton="0" quotePrefix="0" xfId="0">
      <alignment horizontal="center" vertical="bottom"/>
    </xf>
    <xf numFmtId="169" fontId="10" fillId="7" borderId="1" applyAlignment="1" pivotButton="0" quotePrefix="0" xfId="0">
      <alignment horizontal="center" vertical="center"/>
    </xf>
    <xf numFmtId="1" fontId="10" fillId="7" borderId="1" applyAlignment="1" pivotButton="0" quotePrefix="0" xfId="0">
      <alignment horizontal="center" vertical="center"/>
    </xf>
    <xf numFmtId="166" fontId="0" fillId="0" borderId="2" applyAlignment="1" pivotButton="0" quotePrefix="0" xfId="0">
      <alignment horizontal="center" vertical="bottom"/>
    </xf>
    <xf numFmtId="166" fontId="6" fillId="0" borderId="2" applyAlignment="1" pivotButton="0" quotePrefix="0" xfId="0">
      <alignment horizontal="center" vertical="bottom"/>
    </xf>
    <xf numFmtId="165" fontId="0" fillId="0" borderId="2" applyAlignment="1" pivotButton="0" quotePrefix="0" xfId="0">
      <alignment horizontal="center" vertical="bottom"/>
    </xf>
    <xf numFmtId="166" fontId="0" fillId="7" borderId="2" applyAlignment="1" pivotButton="0" quotePrefix="0" xfId="0">
      <alignment horizontal="center" vertical="bottom"/>
    </xf>
    <xf numFmtId="166" fontId="6" fillId="7" borderId="2" applyAlignment="1" pivotButton="0" quotePrefix="0" xfId="0">
      <alignment horizontal="center" vertical="bottom"/>
    </xf>
    <xf numFmtId="165" fontId="0" fillId="7" borderId="2" applyAlignment="1" pivotButton="0" quotePrefix="0" xfId="0">
      <alignment horizontal="center" vertical="bottom"/>
    </xf>
    <xf numFmtId="0" fontId="6" fillId="0" borderId="3" applyAlignment="1" pivotButton="0" quotePrefix="0" xfId="0">
      <alignment horizontal="general" vertical="bottom"/>
    </xf>
    <xf numFmtId="166" fontId="6" fillId="0" borderId="3" applyAlignment="1" pivotButton="0" quotePrefix="0" xfId="0">
      <alignment horizontal="general" vertical="bottom"/>
    </xf>
    <xf numFmtId="166" fontId="8" fillId="3" borderId="2" applyAlignment="1" pivotButton="0" quotePrefix="0" xfId="0">
      <alignment horizontal="center" vertical="bottom"/>
    </xf>
    <xf numFmtId="166" fontId="8" fillId="7" borderId="2" applyAlignment="1" pivotButton="0" quotePrefix="0" xfId="0">
      <alignment horizontal="center" vertical="bottom"/>
    </xf>
    <xf numFmtId="166" fontId="0" fillId="0" borderId="0" applyAlignment="1" pivotButton="0" quotePrefix="0" xfId="0">
      <alignment horizontal="general" vertical="bottom"/>
    </xf>
    <xf numFmtId="0" fontId="18" fillId="10" borderId="0" applyAlignment="1" pivotButton="0" quotePrefix="0" xfId="0">
      <alignment horizontal="left" vertical="center"/>
    </xf>
    <xf numFmtId="0" fontId="17" fillId="9" borderId="0" applyAlignment="1" pivotButton="0" quotePrefix="0" xfId="0">
      <alignment horizontal="left" vertical="center"/>
    </xf>
    <xf numFmtId="168" fontId="17" fillId="0" borderId="0" applyAlignment="1" pivotButton="0" quotePrefix="0" xfId="0">
      <alignment horizontal="general" vertical="bottom"/>
    </xf>
    <xf numFmtId="166" fontId="17" fillId="0" borderId="0" applyAlignment="1" pivotButton="0" quotePrefix="0" xfId="0">
      <alignment horizontal="general" vertical="bottom"/>
    </xf>
    <xf numFmtId="165" fontId="17" fillId="0" borderId="0" applyAlignment="1" pivotButton="0" quotePrefix="0" xfId="0">
      <alignment horizontal="general" vertical="bottom"/>
    </xf>
    <xf numFmtId="171" fontId="0" fillId="0" borderId="1" applyAlignment="1" pivotButton="0" quotePrefix="0" xfId="0">
      <alignment horizontal="center" vertical="center"/>
    </xf>
    <xf numFmtId="171" fontId="9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9" fontId="0" fillId="0" borderId="0" applyAlignment="1" pivotButton="0" quotePrefix="0" xfId="0">
      <alignment horizontal="center" vertical="center"/>
    </xf>
    <xf numFmtId="0" fontId="17" fillId="9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71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4" fontId="8" fillId="3" borderId="2" applyAlignment="1" pivotButton="0" quotePrefix="0" xfId="0">
      <alignment horizontal="right" vertical="center"/>
    </xf>
    <xf numFmtId="4" fontId="0" fillId="0" borderId="2" applyAlignment="1" pivotButton="0" quotePrefix="0" xfId="0">
      <alignment horizontal="right" vertical="center"/>
    </xf>
    <xf numFmtId="4" fontId="6" fillId="0" borderId="2" applyAlignment="1" pivotButton="0" quotePrefix="0" xfId="0">
      <alignment horizontal="right" vertical="center"/>
    </xf>
    <xf numFmtId="4" fontId="8" fillId="7" borderId="2" applyAlignment="1" pivotButton="0" quotePrefix="0" xfId="0">
      <alignment horizontal="right" vertical="center"/>
    </xf>
    <xf numFmtId="4" fontId="0" fillId="7" borderId="2" applyAlignment="1" pivotButton="0" quotePrefix="0" xfId="0">
      <alignment horizontal="right" vertical="center"/>
    </xf>
    <xf numFmtId="4" fontId="6" fillId="7" borderId="2" applyAlignment="1" pivotButton="0" quotePrefix="0" xfId="0">
      <alignment horizontal="right" vertical="center"/>
    </xf>
    <xf numFmtId="0" fontId="19" fillId="0" borderId="0" applyAlignment="1" pivotButton="0" quotePrefix="0" xfId="0">
      <alignment horizontal="left" vertical="center"/>
    </xf>
    <xf numFmtId="4" fontId="6" fillId="0" borderId="3" applyAlignment="1" pivotButton="0" quotePrefix="0" xfId="0">
      <alignment horizontal="right" vertical="center"/>
    </xf>
    <xf numFmtId="1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17" fillId="11" borderId="0" applyAlignment="1" pivotButton="0" quotePrefix="0" xfId="0">
      <alignment horizontal="left" vertical="center"/>
    </xf>
    <xf numFmtId="0" fontId="17" fillId="11" borderId="0" applyAlignment="1" pivotButton="0" quotePrefix="0" xfId="0">
      <alignment horizontal="center" vertical="center"/>
    </xf>
    <xf numFmtId="1" fontId="0" fillId="0" borderId="2" applyAlignment="1" pivotButton="0" quotePrefix="0" xfId="0">
      <alignment horizontal="right" vertical="center"/>
    </xf>
    <xf numFmtId="1" fontId="6" fillId="0" borderId="2" applyAlignment="1" pivotButton="0" quotePrefix="0" xfId="0">
      <alignment horizontal="right" vertical="center"/>
    </xf>
    <xf numFmtId="169" fontId="10" fillId="0" borderId="1" applyAlignment="1" pivotButton="0" quotePrefix="0" xfId="0">
      <alignment horizontal="right" vertical="center"/>
    </xf>
    <xf numFmtId="1" fontId="10" fillId="0" borderId="1" applyAlignment="1" pivotButton="0" quotePrefix="0" xfId="0">
      <alignment horizontal="right" vertical="center"/>
    </xf>
    <xf numFmtId="1" fontId="0" fillId="7" borderId="2" applyAlignment="1" pivotButton="0" quotePrefix="0" xfId="0">
      <alignment horizontal="right" vertical="center"/>
    </xf>
    <xf numFmtId="1" fontId="6" fillId="7" borderId="2" applyAlignment="1" pivotButton="0" quotePrefix="0" xfId="0">
      <alignment horizontal="right" vertical="center"/>
    </xf>
    <xf numFmtId="169" fontId="10" fillId="7" borderId="1" applyAlignment="1" pivotButton="0" quotePrefix="0" xfId="0">
      <alignment horizontal="right" vertical="center"/>
    </xf>
    <xf numFmtId="1" fontId="10" fillId="7" borderId="1" applyAlignment="1" pivotButton="0" quotePrefix="0" xfId="0">
      <alignment horizontal="right" vertical="center"/>
    </xf>
    <xf numFmtId="0" fontId="20" fillId="8" borderId="0" applyAlignment="1" pivotButton="0" quotePrefix="0" xfId="0">
      <alignment horizontal="center" vertical="center"/>
    </xf>
    <xf numFmtId="0" fontId="18" fillId="10" borderId="8" applyAlignment="1" pivotButton="0" quotePrefix="0" xfId="0">
      <alignment horizontal="center" vertical="center"/>
    </xf>
    <xf numFmtId="0" fontId="0" fillId="0" borderId="8" pivotButton="0" quotePrefix="0" xfId="0"/>
    <xf numFmtId="172" fontId="21" fillId="12" borderId="8" applyAlignment="1" pivotButton="0" quotePrefix="0" xfId="0">
      <alignment horizontal="center" vertical="center"/>
    </xf>
    <xf numFmtId="165" fontId="21" fillId="12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1" fontId="0" fillId="0" borderId="8" applyAlignment="1" pivotButton="0" quotePrefix="0" xfId="0">
      <alignment horizontal="right" vertical="center"/>
    </xf>
    <xf numFmtId="1" fontId="0" fillId="0" borderId="0" applyAlignment="1" pivotButton="0" quotePrefix="0" xfId="0">
      <alignment horizontal="right" vertical="center"/>
    </xf>
    <xf numFmtId="0" fontId="0" fillId="0" borderId="11" pivotButton="0" quotePrefix="0" xfId="0"/>
    <xf numFmtId="0" fontId="17" fillId="11" borderId="8" applyAlignment="1" pivotButton="0" quotePrefix="0" xfId="0">
      <alignment horizontal="center" vertical="center"/>
    </xf>
    <xf numFmtId="172" fontId="0" fillId="0" borderId="8" applyAlignment="1" pivotButton="0" quotePrefix="0" xfId="0">
      <alignment horizontal="right" vertical="center"/>
    </xf>
    <xf numFmtId="0" fontId="17" fillId="11" borderId="8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8" applyAlignment="1" pivotButton="0" quotePrefix="0" xfId="0">
      <alignment horizontal="right" vertical="center"/>
    </xf>
    <xf numFmtId="0" fontId="0" fillId="0" borderId="13" pivotButton="0" quotePrefix="0" xfId="0"/>
    <xf numFmtId="0" fontId="0" fillId="0" borderId="14" pivotButton="0" quotePrefix="0" xfId="0"/>
    <xf numFmtId="172" fontId="17" fillId="11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172" fontId="0" fillId="0" borderId="8" pivotButton="0" quotePrefix="0" xfId="0"/>
    <xf numFmtId="0" fontId="0" fillId="0" borderId="16" pivotButton="0" quotePrefix="0" xfId="0"/>
    <xf numFmtId="0" fontId="17" fillId="11" borderId="16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5">
    <dxf>
      <fill>
        <patternFill>
          <bgColor rgb="FFFFCCCC"/>
        </patternFill>
      </fill>
    </dxf>
    <dxf>
      <fill>
        <patternFill>
          <bgColor rgb="FFFFFF00"/>
        </patternFill>
      </fill>
    </dxf>
    <dxf>
      <fill>
        <patternFill patternType="solid">
          <fgColor rgb="00E2F0D9"/>
        </patternFill>
      </fill>
    </dxf>
    <dxf>
      <fill>
        <patternFill patternType="solid">
          <fgColor rgb="00D9EAD3"/>
        </patternFill>
      </fill>
    </dxf>
    <dxf>
      <fill>
        <patternFill patternType="solid">
          <fgColor rgb="00F8CBAD"/>
          <bgColor rgb="00F8CBA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B8B8"/>
      <rgbColor rgb="FF808080"/>
      <rgbColor rgb="FF5B9BD5"/>
      <rgbColor rgb="FF993366"/>
      <rgbColor rgb="FFFFF2CC"/>
      <rgbColor rgb="FFE7F3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2B579A"/>
      <rgbColor rgb="FF969696"/>
      <rgbColor rgb="FF003366"/>
      <rgbColor rgb="FF339966"/>
      <rgbColor rgb="FF003300"/>
      <rgbColor rgb="FF333300"/>
      <rgbColor rgb="FF993300"/>
      <rgbColor rgb="FF993366"/>
      <rgbColor rgb="FF1F4788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Cash Balance Trend</a:t>
            </a:r>
          </a:p>
        </rich>
      </tx>
    </title>
    <plotArea>
      <lineChart>
        <grouping val="standard"/>
        <ser>
          <idx val="0"/>
          <order val="0"/>
          <tx>
            <strRef>
              <f>'5. Fin Planning Cash Flow'!H4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'5. Fin Planning Cash Flow'!$B$5:$B$56</f>
            </numRef>
          </cat>
          <val>
            <numRef>
              <f>'5. Fin Planning Cash Flow'!$H$5:$H$56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Cash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Weekly Revenue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'4. Fin Planning P&amp;L'!E4</f>
            </strRef>
          </tx>
          <spPr>
            <a:ln xmlns:a="http://schemas.openxmlformats.org/drawingml/2006/main">
              <a:prstDash val="solid"/>
            </a:ln>
          </spPr>
          <cat>
            <numRef>
              <f>'4. Fin Planning P&amp;L'!$B$5:$B$56</f>
            </numRef>
          </cat>
          <val>
            <numRef>
              <f>'4. Fin Planning P&amp;L'!$E$5:$E$56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Pipeline Status Mix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'6. Dashboard'!C24</f>
            </strRef>
          </tx>
          <spPr>
            <a:ln xmlns:a="http://schemas.openxmlformats.org/drawingml/2006/main">
              <a:prstDash val="solid"/>
            </a:ln>
          </spPr>
          <cat>
            <numRef>
              <f>'6. Dashboard'!$B$25:$B$27</f>
            </numRef>
          </cat>
          <val>
            <numRef>
              <f>'6. Dashboard'!$C$25:$C$27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Current Inventory by SKU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'6. Dashboard'!F24</f>
            </strRef>
          </tx>
          <spPr>
            <a:ln xmlns:a="http://schemas.openxmlformats.org/drawingml/2006/main">
              <a:prstDash val="solid"/>
            </a:ln>
          </spPr>
          <cat>
            <numRef>
              <f>'6. Dashboard'!$E$25:$E$28</f>
            </numRef>
          </cat>
          <val>
            <numRef>
              <f>'6. Dashboard'!$F$25:$F$28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Unknown Author</author>
  </authors>
  <commentList>
    <comment ref="G6" authorId="0" shapeId="0">
      <text>
        <t>Calculates weeks of inventory coverage by dividing current stock by weekly sales rate</t>
      </text>
    </comment>
    <comment ref="M6" authorId="0" shapeId="0">
      <text>
        <t>Calculates weeks of inventory coverage by dividing current stock by weekly sales rate</t>
      </text>
    </comment>
    <comment ref="S6" authorId="0" shapeId="0">
      <text>
        <t>Calculates weeks of inventory coverage by dividing current stock by weekly sales rate</t>
      </text>
    </comment>
    <comment ref="Y6" authorId="0" shapeId="0">
      <text>
        <t>Calculates weeks of inventory coverage by dividing current stock by weekly sales rate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13</row>
      <rowOff>0</rowOff>
    </from>
    <ext cx="5400000" cy="25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7</col>
      <colOff>0</colOff>
      <row>13</row>
      <rowOff>0</rowOff>
    </from>
    <ext cx="5400000" cy="252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</col>
      <colOff>0</colOff>
      <row>27</row>
      <rowOff>0</rowOff>
    </from>
    <ext cx="4320000" cy="216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7</col>
      <colOff>0</colOff>
      <row>27</row>
      <rowOff>0</rowOff>
    </from>
    <ext cx="4320000" cy="216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J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4" topLeftCell="B5" activePane="bottomRight" state="frozen"/>
      <selection pane="topRight" activeCell="A1" sqref="A1"/>
      <selection pane="bottomLeft" activeCell="A1" sqref="A1"/>
      <selection pane="bottomRight" activeCell="A1" activeCellId="0" sqref="A1"/>
    </sheetView>
  </sheetViews>
  <sheetFormatPr baseColWidth="8" defaultColWidth="8.6796875" defaultRowHeight="15" zeroHeight="0" outlineLevelRow="0"/>
  <cols>
    <col width="12" customWidth="1" style="57" min="1" max="1"/>
    <col width="12" customWidth="1" style="57" min="2" max="2"/>
    <col width="12" customWidth="1" style="57" min="3" max="10"/>
    <col width="12" customWidth="1" style="58" min="4" max="4"/>
    <col width="12" customWidth="1" style="58" min="5" max="5"/>
    <col width="12" customWidth="1" style="58" min="6" max="6"/>
    <col width="12" customWidth="1" style="58" min="7" max="7"/>
    <col width="12" customWidth="1" style="58" min="8" max="8"/>
    <col width="12" customWidth="1" style="58" min="9" max="9"/>
    <col width="12" customWidth="1" style="58" min="10" max="10"/>
  </cols>
  <sheetData>
    <row r="1" ht="19.5" customHeight="1" s="58"/>
    <row r="2" ht="19.5" customHeight="1" s="58">
      <c r="B2" s="59" t="inlineStr">
        <is>
          <t>PRODUCT CONFIGURATION</t>
        </is>
      </c>
    </row>
    <row r="3" ht="19.5" customHeight="1" s="58"/>
    <row r="4" ht="19.5" customHeight="1" s="58">
      <c r="B4" s="60" t="inlineStr">
        <is>
          <t>Product Name</t>
        </is>
      </c>
      <c r="C4" s="60" t="inlineStr">
        <is>
          <t>Selling Price</t>
        </is>
      </c>
      <c r="D4" s="60" t="inlineStr">
        <is>
          <t>Manufacturing</t>
        </is>
      </c>
      <c r="E4" s="60" t="inlineStr">
        <is>
          <t>Freight</t>
        </is>
      </c>
      <c r="F4" s="60" t="inlineStr">
        <is>
          <t>Tariff Rate</t>
        </is>
      </c>
      <c r="G4" s="60" t="inlineStr">
        <is>
          <t>TACoS %</t>
        </is>
      </c>
      <c r="H4" s="60" t="inlineStr">
        <is>
          <t>FBA Fee</t>
        </is>
      </c>
      <c r="I4" s="60" t="inlineStr">
        <is>
          <t>Referral %</t>
        </is>
      </c>
      <c r="J4" s="60" t="inlineStr">
        <is>
          <t>Storage/Mo</t>
        </is>
      </c>
    </row>
    <row r="5" ht="19.5" customHeight="1" s="58">
      <c r="B5" s="61" t="inlineStr">
        <is>
          <t>7 Micron - 6 Pack</t>
        </is>
      </c>
      <c r="C5" s="62" t="n">
        <v>6.99</v>
      </c>
      <c r="D5" s="62" t="n">
        <v>0.59</v>
      </c>
      <c r="E5" s="62" t="n">
        <v>0.1</v>
      </c>
      <c r="F5" s="63" t="n">
        <v>0.35</v>
      </c>
      <c r="G5" s="63" t="n">
        <v>0.15</v>
      </c>
      <c r="H5" s="62" t="n">
        <v>2.81</v>
      </c>
      <c r="I5" s="63" t="n">
        <v>0.15</v>
      </c>
      <c r="J5" s="62" t="n">
        <v>0.12</v>
      </c>
    </row>
    <row r="6" ht="19.5" customHeight="1" s="58">
      <c r="B6" s="61" t="inlineStr">
        <is>
          <t>7 Micron - 12 Pack</t>
        </is>
      </c>
      <c r="C6" s="62" t="n">
        <v>12.99</v>
      </c>
      <c r="D6" s="62" t="n">
        <v>1.18</v>
      </c>
      <c r="E6" s="62" t="n">
        <v>0.25</v>
      </c>
      <c r="F6" s="63" t="n">
        <v>0.35</v>
      </c>
      <c r="G6" s="63" t="n">
        <v>0.07000000000000001</v>
      </c>
      <c r="H6" s="62" t="n">
        <v>5.48</v>
      </c>
      <c r="I6" s="63" t="n">
        <v>0.15</v>
      </c>
      <c r="J6" s="62" t="n">
        <v>0.24</v>
      </c>
    </row>
    <row r="7" ht="19.5" customHeight="1" s="58">
      <c r="B7" s="61" t="inlineStr">
        <is>
          <t>32 Micron - 1 Pack</t>
        </is>
      </c>
      <c r="C7" s="62" t="n">
        <v>7.99</v>
      </c>
      <c r="D7" s="62" t="n">
        <v>0.39</v>
      </c>
      <c r="E7" s="62" t="n">
        <v>0.08</v>
      </c>
      <c r="F7" s="63" t="n">
        <v>0.35</v>
      </c>
      <c r="G7" s="63" t="n">
        <v>0.07000000000000001</v>
      </c>
      <c r="H7" s="62" t="n">
        <v>2.63</v>
      </c>
      <c r="I7" s="63" t="n">
        <v>0.15</v>
      </c>
      <c r="J7" s="62" t="n">
        <v>0.09</v>
      </c>
    </row>
    <row r="8" ht="19.5" customHeight="1" s="58">
      <c r="B8" s="61" t="inlineStr">
        <is>
          <t>32 Micron - 3 Pack</t>
        </is>
      </c>
      <c r="C8" s="62" t="n">
        <v>12.99</v>
      </c>
      <c r="D8" s="62" t="n">
        <v>1.17</v>
      </c>
      <c r="E8" s="62" t="n">
        <v>0.21</v>
      </c>
      <c r="F8" s="63" t="n">
        <v>0.35</v>
      </c>
      <c r="G8" s="63" t="n">
        <v>0.07000000000000001</v>
      </c>
      <c r="H8" s="62" t="n">
        <v>5.48</v>
      </c>
      <c r="I8" s="63" t="n">
        <v>0.15</v>
      </c>
      <c r="J8" s="62" t="n">
        <v>0.27</v>
      </c>
    </row>
    <row r="9" ht="19.5" customHeight="1" s="58"/>
    <row r="10" ht="19.5" customHeight="1" s="58">
      <c r="B10" s="108" t="inlineStr">
        <is>
          <t>LEAD TIME CONFIGURATION (WEEKS)</t>
        </is>
      </c>
    </row>
    <row r="11" ht="19.5" customHeight="1" s="58">
      <c r="B11" s="71" t="inlineStr">
        <is>
          <t>Stage</t>
        </is>
      </c>
      <c r="C11" s="71" t="inlineStr">
        <is>
          <t>Duration</t>
        </is>
      </c>
    </row>
    <row r="12" ht="19.5" customHeight="1" s="58">
      <c r="B12" s="119" t="inlineStr">
        <is>
          <t>Production Time</t>
        </is>
      </c>
      <c r="C12" s="114" t="n">
        <v>2</v>
      </c>
    </row>
    <row r="13" ht="19.5" customHeight="1" s="58">
      <c r="B13" s="119" t="inlineStr">
        <is>
          <t>Source Prep</t>
        </is>
      </c>
      <c r="C13" s="114" t="n">
        <v>1</v>
      </c>
    </row>
    <row r="14" ht="19.5" customHeight="1" s="58">
      <c r="B14" s="119" t="inlineStr">
        <is>
          <t>Ocean Transit</t>
        </is>
      </c>
      <c r="C14" s="114" t="n">
        <v>4</v>
      </c>
    </row>
    <row r="15" ht="19.5" customHeight="1" s="58">
      <c r="B15" s="119" t="inlineStr">
        <is>
          <t>Final Mile</t>
        </is>
      </c>
      <c r="C15" s="114" t="n">
        <v>1</v>
      </c>
    </row>
    <row r="16" ht="19.5" customHeight="1" s="58">
      <c r="B16" s="119" t="inlineStr">
        <is>
          <t>Total Default Cycle</t>
        </is>
      </c>
      <c r="C16" s="114">
        <f>SUM(C12:C15)</f>
        <v/>
      </c>
    </row>
    <row r="17" ht="19.5" customHeight="1" s="58">
      <c r="B17" s="108" t="inlineStr">
        <is>
          <t>BUSINESS PARAMETERS</t>
        </is>
      </c>
    </row>
    <row r="18" ht="19.5" customHeight="1" s="58">
      <c r="B18" s="119" t="inlineStr">
        <is>
          <t>Starting Cash</t>
        </is>
      </c>
      <c r="C18" s="114" t="n">
        <v>10000</v>
      </c>
    </row>
    <row r="19" ht="19.5" customHeight="1" s="58">
      <c r="B19" s="119" t="inlineStr">
        <is>
          <t>Amazon Payout Delay (weeks)</t>
        </is>
      </c>
      <c r="C19" s="114" t="n">
        <v>2</v>
      </c>
    </row>
    <row r="20" ht="19.5" customHeight="1" s="58">
      <c r="B20" s="119" t="inlineStr">
        <is>
          <t>Weekly Fixed Costs</t>
        </is>
      </c>
      <c r="C20" s="114" t="n">
        <v>200</v>
      </c>
    </row>
    <row r="21" ht="19.5" customHeight="1" s="58">
      <c r="B21" s="119" t="inlineStr">
        <is>
          <t>Supplier Payment Terms (weeks)</t>
        </is>
      </c>
      <c r="C21" s="114" t="n">
        <v>4</v>
      </c>
    </row>
    <row r="22">
      <c r="B22" s="119" t="inlineStr">
        <is>
          <t>Supplier Payment Split 1 (%)</t>
        </is>
      </c>
      <c r="C22" s="114" t="n">
        <v>0.25</v>
      </c>
    </row>
    <row r="23">
      <c r="B23" s="119" t="inlineStr">
        <is>
          <t>Supplier Payment Split 2 (%)</t>
        </is>
      </c>
      <c r="C23" s="114" t="n">
        <v>0.25</v>
      </c>
    </row>
    <row r="24">
      <c r="B24" s="119" t="inlineStr">
        <is>
          <t>Supplier Payment Split 3 (%)</t>
        </is>
      </c>
      <c r="C24" s="114" t="n">
        <v>0.5</v>
      </c>
    </row>
    <row r="25">
      <c r="B25" s="119" t="inlineStr">
        <is>
          <t>Weeks of Stock Warning Threshold</t>
        </is>
      </c>
      <c r="C25" s="130" t="n">
        <v>4</v>
      </c>
    </row>
  </sheetData>
  <mergeCells count="1">
    <mergeCell ref="B2:J2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AA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ySplit="4" topLeftCell="A5" activePane="bottomLeft" state="frozen"/>
      <selection pane="bottomLeft" activeCell="A1" activeCellId="0" sqref="A1"/>
    </sheetView>
  </sheetViews>
  <sheetFormatPr baseColWidth="8" defaultColWidth="8.6796875" defaultRowHeight="15" zeroHeight="0" outlineLevelRow="0"/>
  <cols>
    <col width="12" customWidth="1" style="57" min="1" max="1"/>
    <col width="12" customWidth="1" style="57" min="2" max="2"/>
    <col width="12" customWidth="1" style="57" min="3" max="3"/>
    <col width="12" customWidth="1" style="57" min="4" max="15"/>
    <col width="12" customWidth="1" style="58" min="5" max="5"/>
    <col width="12" customWidth="1" style="58" min="6" max="6"/>
    <col width="12" customWidth="1" style="58" min="7" max="7"/>
    <col width="12" customWidth="1" style="58" min="8" max="8"/>
    <col width="12" customWidth="1" style="58" min="9" max="9"/>
    <col width="12" customWidth="1" style="58" min="10" max="10"/>
    <col width="12" customWidth="1" style="58" min="11" max="11"/>
    <col width="12" customWidth="1" style="58" min="12" max="12"/>
    <col width="12" customWidth="1" style="58" min="13" max="13"/>
    <col width="12" customWidth="1" style="58" min="14" max="14"/>
    <col width="12" customWidth="1" style="58" min="15" max="15"/>
    <col width="12" customWidth="1" style="58" min="16" max="16"/>
    <col width="12" customWidth="1" style="58" min="17" max="17"/>
    <col width="12" customWidth="1" style="58" min="18" max="18"/>
    <col width="12" customWidth="1" style="58" min="19" max="19"/>
    <col width="12" customWidth="1" style="58" min="20" max="20"/>
    <col width="12" customWidth="1" style="58" min="21" max="21"/>
    <col width="12" customWidth="1" style="58" min="22" max="22"/>
    <col width="12" customWidth="1" style="58" min="23" max="23"/>
    <col width="12" customWidth="1" style="58" min="24" max="24"/>
    <col width="12" customWidth="1" style="58" min="25" max="25"/>
    <col width="12" customWidth="1" style="58" min="26" max="26"/>
    <col width="12" customWidth="1" style="58" min="27" max="27"/>
  </cols>
  <sheetData>
    <row r="1" ht="19.5" customHeight="1" s="58"/>
    <row r="2" ht="19.5" customHeight="1" s="58">
      <c r="B2" s="59" t="inlineStr">
        <is>
          <t>OPS PLANNING</t>
        </is>
      </c>
    </row>
    <row r="3" ht="19.5" customHeight="1" s="58">
      <c r="A3" s="135" t="inlineStr">
        <is>
          <t>Order Info</t>
        </is>
      </c>
      <c r="D3" s="136" t="inlineStr">
        <is>
          <t>Lead Time (Weeks)</t>
        </is>
      </c>
      <c r="H3" s="136" t="inlineStr">
        <is>
          <t>Payment Schedule</t>
        </is>
      </c>
      <c r="Q3" s="136" t="inlineStr">
        <is>
          <t>Logistics &amp; Status</t>
        </is>
      </c>
    </row>
    <row r="4" ht="19.5" customHeight="1" s="58">
      <c r="A4" s="71" t="inlineStr">
        <is>
          <t>Shipping Mark</t>
        </is>
      </c>
      <c r="B4" s="108" t="inlineStr">
        <is>
          <t>Product</t>
        </is>
      </c>
      <c r="C4" s="71" t="inlineStr">
        <is>
          <t>Quantity</t>
        </is>
      </c>
      <c r="D4" s="71" t="inlineStr">
        <is>
          <t>Production</t>
        </is>
      </c>
      <c r="E4" s="71" t="inlineStr">
        <is>
          <t>Source Prep</t>
        </is>
      </c>
      <c r="F4" s="71" t="inlineStr">
        <is>
          <t>Ocean</t>
        </is>
      </c>
      <c r="G4" s="71" t="inlineStr">
        <is>
          <t>Final Mile</t>
        </is>
      </c>
      <c r="H4" s="71" t="inlineStr">
        <is>
          <t>Pay 1 Date</t>
        </is>
      </c>
      <c r="I4" s="71" t="inlineStr">
        <is>
          <t>Pay 1 %</t>
        </is>
      </c>
      <c r="J4" s="71" t="inlineStr">
        <is>
          <t>Pay 1 Amount</t>
        </is>
      </c>
      <c r="K4" s="71" t="inlineStr">
        <is>
          <t>Pay 2 Date</t>
        </is>
      </c>
      <c r="L4" s="71" t="inlineStr">
        <is>
          <t>Pay 2 %</t>
        </is>
      </c>
      <c r="M4" s="71" t="inlineStr">
        <is>
          <t>Pay 2 Amount</t>
        </is>
      </c>
      <c r="N4" s="71" t="inlineStr">
        <is>
          <t>Pay 3 Date</t>
        </is>
      </c>
      <c r="O4" s="71" t="inlineStr">
        <is>
          <t>Pay 3 %</t>
        </is>
      </c>
      <c r="P4" s="71" t="inlineStr">
        <is>
          <t>Pay 3 Amount</t>
        </is>
      </c>
      <c r="Q4" s="71" t="inlineStr">
        <is>
          <t>Production Start</t>
        </is>
      </c>
      <c r="R4" s="71" t="inlineStr">
        <is>
          <t>Production Complete</t>
        </is>
      </c>
      <c r="S4" s="71" t="inlineStr">
        <is>
          <t>Source Departure</t>
        </is>
      </c>
      <c r="T4" s="108" t="inlineStr">
        <is>
          <t>Transport Reference</t>
        </is>
      </c>
      <c r="U4" s="71" t="inlineStr">
        <is>
          <t>Port ETA</t>
        </is>
      </c>
      <c r="V4" s="71" t="inlineStr">
        <is>
          <t>Inbound ETA</t>
        </is>
      </c>
      <c r="W4" s="71" t="inlineStr">
        <is>
          <t>Available Date</t>
        </is>
      </c>
      <c r="X4" s="71" t="inlineStr">
        <is>
          <t>Lead Days</t>
        </is>
      </c>
      <c r="Y4" s="108" t="inlineStr">
        <is>
          <t>Status</t>
        </is>
      </c>
      <c r="Z4" s="71" t="inlineStr">
        <is>
          <t>Weeks Until Arrival</t>
        </is>
      </c>
      <c r="AA4" s="108" t="inlineStr">
        <is>
          <t>Status Icon</t>
        </is>
      </c>
    </row>
    <row r="5" ht="19.5" customHeight="1" s="58">
      <c r="A5" s="72" t="inlineStr">
        <is>
          <t>INV-001</t>
        </is>
      </c>
      <c r="B5" s="72" t="inlineStr">
        <is>
          <t>7 Micron - 6 Pack</t>
        </is>
      </c>
      <c r="C5" s="73" t="n">
        <v>500</v>
      </c>
      <c r="D5" s="115" t="n">
        <v>2</v>
      </c>
      <c r="E5" s="115" t="n">
        <v>1</v>
      </c>
      <c r="F5" s="115" t="n">
        <v>4</v>
      </c>
      <c r="G5" s="115" t="n">
        <v>1</v>
      </c>
      <c r="H5" s="120">
        <f>IF($Q5="","",$Q5+7*'1. Product Setup'!$C$21)</f>
        <v/>
      </c>
      <c r="I5" s="134">
        <f>IF($B5="","",'1. Product Setup'!$C$22)</f>
        <v/>
      </c>
      <c r="J5" s="131">
        <f>IF($B5="","",$I5*$C5*(INDEX('1. Product Setup'!$D$5:$D$8, MATCH($B5,'1. Product Setup'!$B$5:$B$8,0)) + INDEX('1. Product Setup'!$E$5:$E$8, MATCH($B5,'1. Product Setup'!$B$5:$B$8,0))))</f>
        <v/>
      </c>
      <c r="K5" s="120">
        <f>IF($S5="","",$S5)</f>
        <v/>
      </c>
      <c r="L5" s="134">
        <f>IF($B5="","",'1. Product Setup'!$C$23)</f>
        <v/>
      </c>
      <c r="M5" s="131">
        <f>IF($B5="","",$L5*$C5*(INDEX('1. Product Setup'!$D$5:$D$8, MATCH($B5,'1. Product Setup'!$B$5:$B$8,0)) + INDEX('1. Product Setup'!$E$5:$E$8, MATCH($B5,'1. Product Setup'!$B$5:$B$8,0))))</f>
        <v/>
      </c>
      <c r="N5" s="120">
        <f>IF($W5="","",$W5)</f>
        <v/>
      </c>
      <c r="O5" s="134">
        <f>IF($B5="","",'1. Product Setup'!$C$24)</f>
        <v/>
      </c>
      <c r="P5" s="131">
        <f>IF($B5="","",$O5*$C5*(INDEX('1. Product Setup'!$D$5:$D$8, MATCH($B5,'1. Product Setup'!$B$5:$B$8,0)) + INDEX('1. Product Setup'!$E$5:$E$8, MATCH($B5,'1. Product Setup'!$B$5:$B$8,0))))</f>
        <v/>
      </c>
      <c r="Q5" s="112" t="n">
        <v>45628</v>
      </c>
      <c r="R5" s="113">
        <f>IF($Q5="","",$Q5+7*$D5)</f>
        <v/>
      </c>
      <c r="S5" s="113">
        <f>IF($R5="","",$R5+7*$E5)</f>
        <v/>
      </c>
      <c r="T5" s="119" t="n"/>
      <c r="U5" s="113">
        <f>IF($S5="","",$S5+7*$F5)</f>
        <v/>
      </c>
      <c r="V5" s="113">
        <f>IF($U5="","",$U5+7*$G5)</f>
        <v/>
      </c>
      <c r="W5" s="113">
        <f>IF($V5="","",$V5)</f>
        <v/>
      </c>
      <c r="X5" s="76">
        <f>IF(OR($Q5="",$W5=""),"",$W5-$Q5)</f>
        <v/>
      </c>
      <c r="Y5" s="117" t="inlineStr">
        <is>
          <t>Arrived</t>
        </is>
      </c>
      <c r="Z5" s="88">
        <f>IF($W5="","",ROUNDUP(($W5-TODAY())/7,1))</f>
        <v/>
      </c>
      <c r="AA5" s="118">
        <f>IF($W5="","",IF($W5&lt;=TODAY(),"✅ ARRIVED",IF($Z5&lt;=1,"🚢 THIS WEEK",IF($Z5&lt;=2,"📦 NEXT WEEK",IF($Z5&lt;=4,"🏭 IN TRANSIT",IF($Z5&lt;=8,"⚙️ PRODUCTION","📋 PLANNED"))))))</f>
        <v/>
      </c>
    </row>
    <row r="6" ht="19.5" customHeight="1" s="58">
      <c r="A6" s="72" t="inlineStr">
        <is>
          <t>INV-002</t>
        </is>
      </c>
      <c r="B6" s="72" t="inlineStr">
        <is>
          <t>7 Micron - 12 Pack</t>
        </is>
      </c>
      <c r="C6" s="73" t="n">
        <v>300</v>
      </c>
      <c r="D6" s="115" t="n">
        <v>2</v>
      </c>
      <c r="E6" s="115" t="n">
        <v>1</v>
      </c>
      <c r="F6" s="115" t="n">
        <v>4</v>
      </c>
      <c r="G6" s="115" t="n">
        <v>1</v>
      </c>
      <c r="H6" s="120">
        <f>IF($Q6="","",$Q6+7*'1. Product Setup'!$C$21)</f>
        <v/>
      </c>
      <c r="I6" s="134">
        <f>IF($B6="","",'1. Product Setup'!$C$22)</f>
        <v/>
      </c>
      <c r="J6" s="131">
        <f>IF($B6="","",$I6*$C6*(INDEX('1. Product Setup'!$D$5:$D$8, MATCH($B6,'1. Product Setup'!$B$5:$B$8,0)) + INDEX('1. Product Setup'!$E$5:$E$8, MATCH($B6,'1. Product Setup'!$B$5:$B$8,0))))</f>
        <v/>
      </c>
      <c r="K6" s="120">
        <f>IF($S6="","",$S6)</f>
        <v/>
      </c>
      <c r="L6" s="134">
        <f>IF($B6="","",'1. Product Setup'!$C$23)</f>
        <v/>
      </c>
      <c r="M6" s="131">
        <f>IF($B6="","",$L6*$C6*(INDEX('1. Product Setup'!$D$5:$D$8, MATCH($B6,'1. Product Setup'!$B$5:$B$8,0)) + INDEX('1. Product Setup'!$E$5:$E$8, MATCH($B6,'1. Product Setup'!$B$5:$B$8,0))))</f>
        <v/>
      </c>
      <c r="N6" s="120">
        <f>IF($W6="","",$W6)</f>
        <v/>
      </c>
      <c r="O6" s="134">
        <f>IF($B6="","",'1. Product Setup'!$C$24)</f>
        <v/>
      </c>
      <c r="P6" s="131">
        <f>IF($B6="","",$O6*$C6*(INDEX('1. Product Setup'!$D$5:$D$8, MATCH($B6,'1. Product Setup'!$B$5:$B$8,0)) + INDEX('1. Product Setup'!$E$5:$E$8, MATCH($B6,'1. Product Setup'!$B$5:$B$8,0))))</f>
        <v/>
      </c>
      <c r="Q6" s="112" t="n">
        <v>45635</v>
      </c>
      <c r="R6" s="113">
        <f>IF($Q6="","",$Q6+7*$D6)</f>
        <v/>
      </c>
      <c r="S6" s="113">
        <f>IF($R6="","",$R6+7*$E6)</f>
        <v/>
      </c>
      <c r="T6" s="119" t="n"/>
      <c r="U6" s="113">
        <f>IF($S6="","",$S6+7*$F6)</f>
        <v/>
      </c>
      <c r="V6" s="113">
        <f>IF($U6="","",$U6+7*$G6)</f>
        <v/>
      </c>
      <c r="W6" s="113">
        <f>IF($V6="","",$V6)</f>
        <v/>
      </c>
      <c r="X6" s="76">
        <f>IF(OR($Q6="",$W6=""),"",$W6-$Q6)</f>
        <v/>
      </c>
      <c r="Y6" s="117" t="inlineStr">
        <is>
          <t>Arrived</t>
        </is>
      </c>
      <c r="Z6" s="88">
        <f>IF($W6="","",ROUNDUP(($W6-TODAY())/7,1))</f>
        <v/>
      </c>
      <c r="AA6" s="118">
        <f>IF($W6="","",IF($W6&lt;=TODAY(),"✅ ARRIVED",IF($Z6&lt;=1,"🚢 THIS WEEK",IF($Z6&lt;=2,"📦 NEXT WEEK",IF($Z6&lt;=4,"🏭 IN TRANSIT",IF($Z6&lt;=8,"⚙️ PRODUCTION","📋 PLANNED"))))))</f>
        <v/>
      </c>
    </row>
    <row r="7" ht="19.5" customHeight="1" s="58">
      <c r="A7" s="72" t="inlineStr">
        <is>
          <t>INV-003</t>
        </is>
      </c>
      <c r="B7" s="72" t="inlineStr">
        <is>
          <t>32 Micron - 1 Pack</t>
        </is>
      </c>
      <c r="C7" s="73" t="n">
        <v>800</v>
      </c>
      <c r="D7" s="115" t="n">
        <v>2</v>
      </c>
      <c r="E7" s="115" t="n">
        <v>1</v>
      </c>
      <c r="F7" s="115" t="n">
        <v>4</v>
      </c>
      <c r="G7" s="115" t="n">
        <v>1</v>
      </c>
      <c r="H7" s="120">
        <f>IF($Q7="","",$Q7+7*'1. Product Setup'!$C$21)</f>
        <v/>
      </c>
      <c r="I7" s="134">
        <f>IF($B7="","",'1. Product Setup'!$C$22)</f>
        <v/>
      </c>
      <c r="J7" s="131">
        <f>IF($B7="","",$I7*$C7*(INDEX('1. Product Setup'!$D$5:$D$8, MATCH($B7,'1. Product Setup'!$B$5:$B$8,0)) + INDEX('1. Product Setup'!$E$5:$E$8, MATCH($B7,'1. Product Setup'!$B$5:$B$8,0))))</f>
        <v/>
      </c>
      <c r="K7" s="120">
        <f>IF($S7="","",$S7)</f>
        <v/>
      </c>
      <c r="L7" s="134">
        <f>IF($B7="","",'1. Product Setup'!$C$23)</f>
        <v/>
      </c>
      <c r="M7" s="131">
        <f>IF($B7="","",$L7*$C7*(INDEX('1. Product Setup'!$D$5:$D$8, MATCH($B7,'1. Product Setup'!$B$5:$B$8,0)) + INDEX('1. Product Setup'!$E$5:$E$8, MATCH($B7,'1. Product Setup'!$B$5:$B$8,0))))</f>
        <v/>
      </c>
      <c r="N7" s="120">
        <f>IF($W7="","",$W7)</f>
        <v/>
      </c>
      <c r="O7" s="134">
        <f>IF($B7="","",'1. Product Setup'!$C$24)</f>
        <v/>
      </c>
      <c r="P7" s="131">
        <f>IF($B7="","",$O7*$C7*(INDEX('1. Product Setup'!$D$5:$D$8, MATCH($B7,'1. Product Setup'!$B$5:$B$8,0)) + INDEX('1. Product Setup'!$E$5:$E$8, MATCH($B7,'1. Product Setup'!$B$5:$B$8,0))))</f>
        <v/>
      </c>
      <c r="Q7" s="112" t="n">
        <v>45642</v>
      </c>
      <c r="R7" s="113">
        <f>IF($Q7="","",$Q7+7*$D7)</f>
        <v/>
      </c>
      <c r="S7" s="113">
        <f>IF($R7="","",$R7+7*$E7)</f>
        <v/>
      </c>
      <c r="T7" s="117" t="inlineStr">
        <is>
          <t>MSC IDANIA</t>
        </is>
      </c>
      <c r="U7" s="113">
        <f>IF($S7="","",$S7+7*$F7)</f>
        <v/>
      </c>
      <c r="V7" s="113">
        <f>IF($U7="","",$U7+7*$G7)</f>
        <v/>
      </c>
      <c r="W7" s="113">
        <f>IF($V7="","",$V7)</f>
        <v/>
      </c>
      <c r="X7" s="76">
        <f>IF(OR($Q7="",$W7=""),"",$W7-$Q7)</f>
        <v/>
      </c>
      <c r="Y7" s="117" t="inlineStr">
        <is>
          <t>In Transit</t>
        </is>
      </c>
      <c r="Z7" s="88">
        <f>IF($W7="","",ROUNDUP(($W7-TODAY())/7,1))</f>
        <v/>
      </c>
      <c r="AA7" s="118">
        <f>IF($W7="","",IF($W7&lt;=TODAY(),"✅ ARRIVED",IF($Z7&lt;=1,"🚢 THIS WEEK",IF($Z7&lt;=2,"📦 NEXT WEEK",IF($Z7&lt;=4,"🏭 IN TRANSIT",IF($Z7&lt;=8,"⚙️ PRODUCTION","📋 PLANNED"))))))</f>
        <v/>
      </c>
    </row>
    <row r="8" ht="19.5" customHeight="1" s="58">
      <c r="A8" s="72" t="inlineStr">
        <is>
          <t>INV-004</t>
        </is>
      </c>
      <c r="B8" s="72" t="inlineStr">
        <is>
          <t>32 Micron - 3 Pack</t>
        </is>
      </c>
      <c r="C8" s="73" t="n">
        <v>400</v>
      </c>
      <c r="D8" s="115" t="n">
        <v>2</v>
      </c>
      <c r="E8" s="115" t="n">
        <v>1</v>
      </c>
      <c r="F8" s="115" t="n">
        <v>4</v>
      </c>
      <c r="G8" s="115" t="n">
        <v>1</v>
      </c>
      <c r="H8" s="120">
        <f>IF($Q8="","",$Q8+7*'1. Product Setup'!$C$21)</f>
        <v/>
      </c>
      <c r="I8" s="134">
        <f>IF($B8="","",'1. Product Setup'!$C$22)</f>
        <v/>
      </c>
      <c r="J8" s="131">
        <f>IF($B8="","",$I8*$C8*(INDEX('1. Product Setup'!$D$5:$D$8, MATCH($B8,'1. Product Setup'!$B$5:$B$8,0)) + INDEX('1. Product Setup'!$E$5:$E$8, MATCH($B8,'1. Product Setup'!$B$5:$B$8,0))))</f>
        <v/>
      </c>
      <c r="K8" s="120">
        <f>IF($S8="","",$S8)</f>
        <v/>
      </c>
      <c r="L8" s="134">
        <f>IF($B8="","",'1. Product Setup'!$C$23)</f>
        <v/>
      </c>
      <c r="M8" s="131">
        <f>IF($B8="","",$L8*$C8*(INDEX('1. Product Setup'!$D$5:$D$8, MATCH($B8,'1. Product Setup'!$B$5:$B$8,0)) + INDEX('1. Product Setup'!$E$5:$E$8, MATCH($B8,'1. Product Setup'!$B$5:$B$8,0))))</f>
        <v/>
      </c>
      <c r="N8" s="120">
        <f>IF($W8="","",$W8)</f>
        <v/>
      </c>
      <c r="O8" s="134">
        <f>IF($B8="","",'1. Product Setup'!$C$24)</f>
        <v/>
      </c>
      <c r="P8" s="131">
        <f>IF($B8="","",$O8*$C8*(INDEX('1. Product Setup'!$D$5:$D$8, MATCH($B8,'1. Product Setup'!$B$5:$B$8,0)) + INDEX('1. Product Setup'!$E$5:$E$8, MATCH($B8,'1. Product Setup'!$B$5:$B$8,0))))</f>
        <v/>
      </c>
      <c r="Q8" s="112" t="n">
        <v>45663</v>
      </c>
      <c r="R8" s="113">
        <f>IF($Q8="","",$Q8+7*$D8)</f>
        <v/>
      </c>
      <c r="S8" s="113">
        <f>IF($R8="","",$R8+7*$E8)</f>
        <v/>
      </c>
      <c r="T8" s="119" t="n"/>
      <c r="U8" s="113">
        <f>IF($S8="","",$S8+7*$F8)</f>
        <v/>
      </c>
      <c r="V8" s="113">
        <f>IF($U8="","",$U8+7*$G8)</f>
        <v/>
      </c>
      <c r="W8" s="113">
        <f>IF($V8="","",$V8)</f>
        <v/>
      </c>
      <c r="X8" s="76">
        <f>IF(OR($Q8="",$W8=""),"",$W8-$Q8)</f>
        <v/>
      </c>
      <c r="Y8" s="117" t="inlineStr">
        <is>
          <t>Production</t>
        </is>
      </c>
      <c r="Z8" s="88">
        <f>IF($W8="","",ROUNDUP(($W8-TODAY())/7,1))</f>
        <v/>
      </c>
      <c r="AA8" s="118">
        <f>IF($W8="","",IF($W8&lt;=TODAY(),"✅ ARRIVED",IF($Z8&lt;=1,"🚢 THIS WEEK",IF($Z8&lt;=2,"📦 NEXT WEEK",IF($Z8&lt;=4,"🏭 IN TRANSIT",IF($Z8&lt;=8,"⚙️ PRODUCTION","📋 PLANNED"))))))</f>
        <v/>
      </c>
    </row>
    <row r="9" ht="19.5" customHeight="1" s="58">
      <c r="A9" s="72" t="inlineStr">
        <is>
          <t>INV-005</t>
        </is>
      </c>
      <c r="B9" s="72" t="inlineStr">
        <is>
          <t>7 Micron - 6 Pack</t>
        </is>
      </c>
      <c r="C9" s="73" t="n">
        <v>600</v>
      </c>
      <c r="D9" s="115" t="n">
        <v>2</v>
      </c>
      <c r="E9" s="115" t="n">
        <v>1</v>
      </c>
      <c r="F9" s="115" t="n">
        <v>4</v>
      </c>
      <c r="G9" s="115" t="n">
        <v>1</v>
      </c>
      <c r="H9" s="120">
        <f>IF($Q9="","",$Q9+7*'1. Product Setup'!$C$21)</f>
        <v/>
      </c>
      <c r="I9" s="134">
        <f>IF($B9="","",'1. Product Setup'!$C$22)</f>
        <v/>
      </c>
      <c r="J9" s="131">
        <f>IF($B9="","",$I9*$C9*(INDEX('1. Product Setup'!$D$5:$D$8, MATCH($B9,'1. Product Setup'!$B$5:$B$8,0)) + INDEX('1. Product Setup'!$E$5:$E$8, MATCH($B9,'1. Product Setup'!$B$5:$B$8,0))))</f>
        <v/>
      </c>
      <c r="K9" s="120">
        <f>IF($S9="","",$S9)</f>
        <v/>
      </c>
      <c r="L9" s="134">
        <f>IF($B9="","",'1. Product Setup'!$C$23)</f>
        <v/>
      </c>
      <c r="M9" s="131">
        <f>IF($B9="","",$L9*$C9*(INDEX('1. Product Setup'!$D$5:$D$8, MATCH($B9,'1. Product Setup'!$B$5:$B$8,0)) + INDEX('1. Product Setup'!$E$5:$E$8, MATCH($B9,'1. Product Setup'!$B$5:$B$8,0))))</f>
        <v/>
      </c>
      <c r="N9" s="120">
        <f>IF($W9="","",$W9)</f>
        <v/>
      </c>
      <c r="O9" s="134">
        <f>IF($B9="","",'1. Product Setup'!$C$24)</f>
        <v/>
      </c>
      <c r="P9" s="131">
        <f>IF($B9="","",$O9*$C9*(INDEX('1. Product Setup'!$D$5:$D$8, MATCH($B9,'1. Product Setup'!$B$5:$B$8,0)) + INDEX('1. Product Setup'!$E$5:$E$8, MATCH($B9,'1. Product Setup'!$B$5:$B$8,0))))</f>
        <v/>
      </c>
      <c r="Q9" s="112" t="n">
        <v>45670</v>
      </c>
      <c r="R9" s="113">
        <f>IF($Q9="","",$Q9+7*$D9)</f>
        <v/>
      </c>
      <c r="S9" s="113">
        <f>IF($R9="","",$R9+7*$E9)</f>
        <v/>
      </c>
      <c r="T9" s="119" t="n"/>
      <c r="U9" s="113">
        <f>IF($S9="","",$S9+7*$F9)</f>
        <v/>
      </c>
      <c r="V9" s="113">
        <f>IF($U9="","",$U9+7*$G9)</f>
        <v/>
      </c>
      <c r="W9" s="113">
        <f>IF($V9="","",$V9)</f>
        <v/>
      </c>
      <c r="X9" s="76">
        <f>IF(OR($Q9="",$W9=""),"",$W9-$Q9)</f>
        <v/>
      </c>
      <c r="Y9" s="117" t="inlineStr">
        <is>
          <t>Production</t>
        </is>
      </c>
      <c r="Z9" s="88">
        <f>IF($W9="","",ROUNDUP(($W9-TODAY())/7,1))</f>
        <v/>
      </c>
      <c r="AA9" s="118">
        <f>IF($W9="","",IF($W9&lt;=TODAY(),"✅ ARRIVED",IF($Z9&lt;=1,"🚢 THIS WEEK",IF($Z9&lt;=2,"📦 NEXT WEEK",IF($Z9&lt;=4,"🏭 IN TRANSIT",IF($Z9&lt;=8,"⚙️ PRODUCTION","📋 PLANNED"))))))</f>
        <v/>
      </c>
    </row>
    <row r="10" ht="19.5" customHeight="1" s="58">
      <c r="A10" s="72" t="inlineStr">
        <is>
          <t>INV-006</t>
        </is>
      </c>
      <c r="B10" s="72" t="inlineStr">
        <is>
          <t>7 Micron - 12 Pack</t>
        </is>
      </c>
      <c r="C10" s="73" t="n">
        <v>400</v>
      </c>
      <c r="D10" s="115" t="n">
        <v>2</v>
      </c>
      <c r="E10" s="115" t="n">
        <v>1</v>
      </c>
      <c r="F10" s="115" t="n">
        <v>4</v>
      </c>
      <c r="G10" s="115" t="n">
        <v>1</v>
      </c>
      <c r="H10" s="120">
        <f>IF($Q10="","",$Q10+7*'1. Product Setup'!$C$21)</f>
        <v/>
      </c>
      <c r="I10" s="134">
        <f>IF($B10="","",'1. Product Setup'!$C$22)</f>
        <v/>
      </c>
      <c r="J10" s="131">
        <f>IF($B10="","",$I10*$C10*(INDEX('1. Product Setup'!$D$5:$D$8, MATCH($B10,'1. Product Setup'!$B$5:$B$8,0)) + INDEX('1. Product Setup'!$E$5:$E$8, MATCH($B10,'1. Product Setup'!$B$5:$B$8,0))))</f>
        <v/>
      </c>
      <c r="K10" s="120">
        <f>IF($S10="","",$S10)</f>
        <v/>
      </c>
      <c r="L10" s="134">
        <f>IF($B10="","",'1. Product Setup'!$C$23)</f>
        <v/>
      </c>
      <c r="M10" s="131">
        <f>IF($B10="","",$L10*$C10*(INDEX('1. Product Setup'!$D$5:$D$8, MATCH($B10,'1. Product Setup'!$B$5:$B$8,0)) + INDEX('1. Product Setup'!$E$5:$E$8, MATCH($B10,'1. Product Setup'!$B$5:$B$8,0))))</f>
        <v/>
      </c>
      <c r="N10" s="120">
        <f>IF($W10="","",$W10)</f>
        <v/>
      </c>
      <c r="O10" s="134">
        <f>IF($B10="","",'1. Product Setup'!$C$24)</f>
        <v/>
      </c>
      <c r="P10" s="131">
        <f>IF($B10="","",$O10*$C10*(INDEX('1. Product Setup'!$D$5:$D$8, MATCH($B10,'1. Product Setup'!$B$5:$B$8,0)) + INDEX('1. Product Setup'!$E$5:$E$8, MATCH($B10,'1. Product Setup'!$B$5:$B$8,0))))</f>
        <v/>
      </c>
      <c r="Q10" s="112" t="n">
        <v>45677</v>
      </c>
      <c r="R10" s="113">
        <f>IF($Q10="","",$Q10+7*$D10)</f>
        <v/>
      </c>
      <c r="S10" s="113">
        <f>IF($R10="","",$R10+7*$E10)</f>
        <v/>
      </c>
      <c r="T10" s="119" t="n"/>
      <c r="U10" s="113">
        <f>IF($S10="","",$S10+7*$F10)</f>
        <v/>
      </c>
      <c r="V10" s="113">
        <f>IF($U10="","",$U10+7*$G10)</f>
        <v/>
      </c>
      <c r="W10" s="113">
        <f>IF($V10="","",$V10)</f>
        <v/>
      </c>
      <c r="X10" s="76">
        <f>IF(OR($Q10="",$W10=""),"",$W10-$Q10)</f>
        <v/>
      </c>
      <c r="Y10" s="117" t="inlineStr">
        <is>
          <t>Planned</t>
        </is>
      </c>
      <c r="Z10" s="88">
        <f>IF($W10="","",ROUNDUP(($W10-TODAY())/7,1))</f>
        <v/>
      </c>
      <c r="AA10" s="118">
        <f>IF($W10="","",IF($W10&lt;=TODAY(),"✅ ARRIVED",IF($Z10&lt;=1,"🚢 THIS WEEK",IF($Z10&lt;=2,"📦 NEXT WEEK",IF($Z10&lt;=4,"🏭 IN TRANSIT",IF($Z10&lt;=8,"⚙️ PRODUCTION","📋 PLANNED"))))))</f>
        <v/>
      </c>
    </row>
    <row r="11" ht="19.5" customHeight="1" s="58"/>
    <row r="12" ht="19.5" customHeight="1" s="58"/>
    <row r="13" ht="19.5" customHeight="1" s="58"/>
    <row r="14" ht="19.5" customHeight="1" s="58"/>
    <row r="15" ht="19.5" customHeight="1" s="58"/>
    <row r="16" ht="19.5" customHeight="1" s="58"/>
    <row r="17" ht="19.5" customHeight="1" s="58"/>
    <row r="18" ht="19.5" customHeight="1" s="58"/>
    <row r="19" ht="19.5" customHeight="1" s="58"/>
    <row r="20" ht="19.5" customHeight="1" s="58"/>
    <row r="21" ht="19.5" customHeight="1" s="58"/>
    <row r="22" ht="19.5" customHeight="1" s="58"/>
    <row r="23" ht="19.5" customHeight="1" s="58"/>
    <row r="24" ht="19.5" customHeight="1" s="58"/>
    <row r="25" ht="19.5" customHeight="1" s="58"/>
    <row r="26" ht="19.5" customHeight="1" s="58"/>
    <row r="27" ht="19.5" customHeight="1" s="58"/>
    <row r="28" ht="19.5" customHeight="1" s="58"/>
    <row r="29" ht="19.5" customHeight="1" s="58"/>
    <row r="30" ht="19.5" customHeight="1" s="58"/>
    <row r="31" ht="19.5" customHeight="1" s="58"/>
    <row r="32" ht="19.5" customHeight="1" s="58"/>
    <row r="33" ht="19.5" customHeight="1" s="58"/>
    <row r="34" ht="19.5" customHeight="1" s="58"/>
    <row r="35" ht="19.5" customHeight="1" s="58"/>
    <row r="36" ht="19.5" customHeight="1" s="58"/>
    <row r="37" ht="19.5" customHeight="1" s="58"/>
    <row r="38" ht="19.5" customHeight="1" s="58"/>
    <row r="39" ht="19.5" customHeight="1" s="58"/>
    <row r="40" ht="19.5" customHeight="1" s="58"/>
    <row r="41" ht="19.5" customHeight="1" s="58"/>
  </sheetData>
  <mergeCells count="5">
    <mergeCell ref="D3:G3"/>
    <mergeCell ref="Q3:AA3"/>
    <mergeCell ref="A3:C3"/>
    <mergeCell ref="H3:P3"/>
    <mergeCell ref="B2:N2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Z5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5" topLeftCell="C6" activePane="bottomRight" state="frozen"/>
      <selection pane="topRight" activeCell="A1" sqref="A1"/>
      <selection pane="bottomLeft" activeCell="A1" sqref="A1"/>
      <selection pane="bottomRight" activeCell="A1" activeCellId="0" sqref="A1"/>
    </sheetView>
  </sheetViews>
  <sheetFormatPr baseColWidth="8" defaultColWidth="8.6796875" defaultRowHeight="15" zeroHeight="0" outlineLevelRow="0"/>
  <cols>
    <col width="12" customWidth="1" style="57" min="1" max="1"/>
    <col width="12" customWidth="1" style="57" min="2" max="2"/>
    <col width="12" customWidth="1" style="57" min="3" max="3"/>
    <col width="12" customWidth="1" style="57" min="4" max="27"/>
    <col width="12" customWidth="1" style="58" min="5" max="5"/>
    <col width="12" customWidth="1" style="58" min="6" max="6"/>
    <col width="12" customWidth="1" style="58" min="7" max="7"/>
    <col width="12" customWidth="1" style="58" min="8" max="8"/>
    <col width="12" customWidth="1" style="58" min="9" max="9"/>
    <col width="12" customWidth="1" style="58" min="10" max="10"/>
    <col width="12" customWidth="1" style="58" min="11" max="11"/>
    <col width="12" customWidth="1" style="58" min="12" max="12"/>
    <col width="12" customWidth="1" style="58" min="13" max="13"/>
    <col width="12" customWidth="1" style="58" min="14" max="14"/>
    <col width="12" customWidth="1" style="58" min="15" max="15"/>
    <col width="12" customWidth="1" style="58" min="16" max="16"/>
    <col width="12" customWidth="1" style="58" min="17" max="17"/>
    <col width="12" customWidth="1" style="58" min="18" max="18"/>
    <col width="12" customWidth="1" style="58" min="19" max="19"/>
    <col width="12" customWidth="1" style="58" min="20" max="20"/>
    <col width="12" customWidth="1" style="58" min="21" max="21"/>
    <col width="12" customWidth="1" style="58" min="22" max="22"/>
    <col width="12" customWidth="1" style="58" min="23" max="23"/>
    <col width="12" customWidth="1" style="58" min="24" max="24"/>
    <col width="12" customWidth="1" style="58" min="25" max="25"/>
    <col width="12" customWidth="1" style="58" min="26" max="26"/>
    <col width="0.1" customWidth="1" style="57" min="30" max="30"/>
    <col width="0.1" customWidth="1" style="57" min="31" max="31"/>
    <col width="10" customWidth="1" style="57" min="32" max="32"/>
  </cols>
  <sheetData>
    <row r="1" ht="19.5" customHeight="1" s="58"/>
    <row r="2" ht="19.5" customHeight="1" s="58">
      <c r="A2" s="59" t="inlineStr">
        <is>
          <t>SALES PLANNING</t>
        </is>
      </c>
    </row>
    <row r="3" ht="19.5" customHeight="1" s="58">
      <c r="A3" s="78" t="n"/>
    </row>
    <row r="4" ht="19.5" customHeight="1" s="58">
      <c r="C4" s="79" t="inlineStr">
        <is>
          <t>7 Micron - 6 Pack</t>
        </is>
      </c>
      <c r="D4" s="80" t="n"/>
      <c r="E4" s="80" t="n"/>
      <c r="F4" s="80" t="n"/>
      <c r="G4" s="80" t="n"/>
      <c r="H4" s="81" t="n"/>
      <c r="I4" s="79" t="inlineStr">
        <is>
          <t>7 Micron - 12 Pack</t>
        </is>
      </c>
      <c r="J4" s="80" t="n"/>
      <c r="K4" s="80" t="n"/>
      <c r="L4" s="80" t="n"/>
      <c r="M4" s="80" t="n"/>
      <c r="N4" s="81" t="n"/>
      <c r="O4" s="79" t="inlineStr">
        <is>
          <t>32 Micron - 1 Pack</t>
        </is>
      </c>
      <c r="P4" s="80" t="n"/>
      <c r="Q4" s="80" t="n"/>
      <c r="R4" s="80" t="n"/>
      <c r="S4" s="80" t="n"/>
      <c r="T4" s="81" t="n"/>
      <c r="U4" s="79" t="inlineStr">
        <is>
          <t>32 Micron - 3 Pack</t>
        </is>
      </c>
      <c r="V4" s="80" t="n"/>
      <c r="W4" s="80" t="n"/>
      <c r="X4" s="80" t="n"/>
      <c r="Y4" s="80" t="n"/>
      <c r="Z4" s="81" t="n"/>
    </row>
    <row r="5" ht="19.5" customHeight="1" s="58">
      <c r="A5" s="82" t="inlineStr">
        <is>
          <t>Week</t>
        </is>
      </c>
      <c r="B5" s="82" t="inlineStr">
        <is>
          <t>Date</t>
        </is>
      </c>
      <c r="C5" s="82" t="inlineStr">
        <is>
          <t>Stock Start</t>
        </is>
      </c>
      <c r="D5" s="82" t="inlineStr">
        <is>
          <t>Actual Sales</t>
        </is>
      </c>
      <c r="E5" s="82" t="inlineStr">
        <is>
          <t>Fcst Sales</t>
        </is>
      </c>
      <c r="F5" s="82" t="inlineStr">
        <is>
          <t>Final Sales</t>
        </is>
      </c>
      <c r="G5" s="60" t="inlineStr">
        <is>
          <t>Stock (Weeks)</t>
        </is>
      </c>
      <c r="H5" s="82" t="inlineStr">
        <is>
          <t>Stock End</t>
        </is>
      </c>
      <c r="I5" s="82" t="inlineStr">
        <is>
          <t>Stock Start</t>
        </is>
      </c>
      <c r="J5" s="82" t="inlineStr">
        <is>
          <t>Actual Sales</t>
        </is>
      </c>
      <c r="K5" s="82" t="inlineStr">
        <is>
          <t>Fcst Sales</t>
        </is>
      </c>
      <c r="L5" s="82" t="inlineStr">
        <is>
          <t>Final Sales</t>
        </is>
      </c>
      <c r="M5" s="60" t="inlineStr">
        <is>
          <t>Stock (Weeks)</t>
        </is>
      </c>
      <c r="N5" s="82" t="inlineStr">
        <is>
          <t>Stock End</t>
        </is>
      </c>
      <c r="O5" s="82" t="inlineStr">
        <is>
          <t>Stock Start</t>
        </is>
      </c>
      <c r="P5" s="82" t="inlineStr">
        <is>
          <t>Actual Sales</t>
        </is>
      </c>
      <c r="Q5" s="82" t="inlineStr">
        <is>
          <t>Fcst Sales</t>
        </is>
      </c>
      <c r="R5" s="82" t="inlineStr">
        <is>
          <t>Final Sales</t>
        </is>
      </c>
      <c r="S5" s="60" t="inlineStr">
        <is>
          <t>Stock (Weeks)</t>
        </is>
      </c>
      <c r="T5" s="82" t="inlineStr">
        <is>
          <t>Stock End</t>
        </is>
      </c>
      <c r="U5" s="82" t="inlineStr">
        <is>
          <t>Stock Start</t>
        </is>
      </c>
      <c r="V5" s="82" t="inlineStr">
        <is>
          <t>Actual Sales</t>
        </is>
      </c>
      <c r="W5" s="82" t="inlineStr">
        <is>
          <t>Fcst Sales</t>
        </is>
      </c>
      <c r="X5" s="82" t="inlineStr">
        <is>
          <t>Final Sales</t>
        </is>
      </c>
      <c r="Y5" s="60" t="inlineStr">
        <is>
          <t>Stock (Weeks)</t>
        </is>
      </c>
      <c r="Z5" s="60" t="inlineStr">
        <is>
          <t>Stock End</t>
        </is>
      </c>
    </row>
    <row r="6" ht="19.5" customHeight="1" s="58">
      <c r="A6" s="83" t="n">
        <v>1</v>
      </c>
      <c r="B6" s="84" t="n">
        <v>45663</v>
      </c>
      <c r="C6" s="137">
        <f>IF($B6="","",500+SUMIFS('2. Ops Planning'!$C:$C,'2. Ops Planning'!$B:$B,$C$4,'2. Ops Planning'!$W:$W,"&gt;="&amp;$B6,'2. Ops Planning'!$W:$W,"&lt;"&amp;$B6+7))</f>
        <v/>
      </c>
      <c r="D6" s="86" t="n"/>
      <c r="E6" s="86" t="n">
        <v>50</v>
      </c>
      <c r="F6" s="138">
        <f>IF($B6="","",MIN(IF(D6="",E6,D6),C6))</f>
        <v/>
      </c>
      <c r="G6" s="139">
        <f>IF($B6="","",IFERROR(LOOKUP(2,1/(H6:H$57&gt;0),ROW(H6:H$57))-ROW(H6)+1,0))</f>
        <v/>
      </c>
      <c r="H6" s="140">
        <f>IF($B6="","",C6-F6)</f>
        <v/>
      </c>
      <c r="I6" s="137">
        <f>IF($B6="","",300+SUMIFS('2. Ops Planning'!$C:$C,'2. Ops Planning'!$B:$B,$I$4,'2. Ops Planning'!$W:$W,"&gt;="&amp;$B6,'2. Ops Planning'!$W:$W,"&lt;"&amp;$B6+7))</f>
        <v/>
      </c>
      <c r="J6" s="86" t="n"/>
      <c r="K6" s="86" t="n">
        <v>30</v>
      </c>
      <c r="L6" s="138">
        <f>IF($B6="","",MIN(IF(J6="",K6,J6),I6))</f>
        <v/>
      </c>
      <c r="M6" s="139">
        <f>IF($B6="","",IFERROR(LOOKUP(2,1/(N6:N$57&gt;0),ROW(N6:N$57))-ROW(N6)+1,0))</f>
        <v/>
      </c>
      <c r="N6" s="140">
        <f>IF($B6="","",I6-L6)</f>
        <v/>
      </c>
      <c r="O6" s="137">
        <f>IF($B6="","",800+SUMIFS('2. Ops Planning'!$C:$C,'2. Ops Planning'!$B:$B,$O$4,'2. Ops Planning'!$W:$W,"&gt;="&amp;$B6,'2. Ops Planning'!$W:$W,"&lt;"&amp;$B6+7))</f>
        <v/>
      </c>
      <c r="P6" s="86" t="n"/>
      <c r="Q6" s="86" t="n">
        <v>40</v>
      </c>
      <c r="R6" s="138">
        <f>IF($B6="","",MIN(IF(P6="",Q6,P6),O6))</f>
        <v/>
      </c>
      <c r="S6" s="139">
        <f>IF($B6="","",IFERROR(LOOKUP(2,1/(T6:T$57&gt;0),ROW(T6:T$57))-ROW(T6)+1,0))</f>
        <v/>
      </c>
      <c r="T6" s="140">
        <f>IF($B6="","",O6-R6)</f>
        <v/>
      </c>
      <c r="U6" s="137">
        <f>IF($B6="","",400+SUMIFS('2. Ops Planning'!$C:$C,'2. Ops Planning'!$B:$B,$U$4,'2. Ops Planning'!$W:$W,"&gt;="&amp;$B6,'2. Ops Planning'!$W:$W,"&lt;"&amp;$B6+7))</f>
        <v/>
      </c>
      <c r="V6" s="86" t="n"/>
      <c r="W6" s="86" t="n">
        <v>20</v>
      </c>
      <c r="X6" s="138">
        <f>IF($B6="","",MIN(IF(V6="",W6,V6),U6))</f>
        <v/>
      </c>
      <c r="Y6" s="139">
        <f>IF($B6="","",IFERROR(LOOKUP(2,1/(Z6:Z$57&gt;0),ROW(Z6:Z$57))-ROW(Z6)+1,0))</f>
        <v/>
      </c>
      <c r="Z6" s="140">
        <f>IF($B6="","",U6-X6)</f>
        <v/>
      </c>
    </row>
    <row r="7" ht="19.5" customHeight="1" s="58">
      <c r="A7" s="83" t="n">
        <v>2</v>
      </c>
      <c r="B7" s="84" t="n">
        <v>45670</v>
      </c>
      <c r="C7" s="137">
        <f>IF($B7="","",H6+SUMIFS('2. Ops Planning'!$C:$C,'2. Ops Planning'!$B:$B,$C$4,'2. Ops Planning'!$W:$W,"&gt;="&amp;$B7,'2. Ops Planning'!$W:$W,"&lt;"&amp;$B7+7))</f>
        <v/>
      </c>
      <c r="D7" s="86" t="n"/>
      <c r="E7" s="86" t="n">
        <v>50</v>
      </c>
      <c r="F7" s="138">
        <f>IF($B7="","",MIN(IF(D7="",E7,D7),C7))</f>
        <v/>
      </c>
      <c r="G7" s="139">
        <f>IF($B7="","",IFERROR(LOOKUP(2,1/(H7:H$57&gt;0),ROW(H7:H$57))-ROW(H7)+1,0))</f>
        <v/>
      </c>
      <c r="H7" s="140">
        <f>IF($B7="","",C7-F7)</f>
        <v/>
      </c>
      <c r="I7" s="137">
        <f>IF($B7="","",N6+SUMIFS('2. Ops Planning'!$C:$C,'2. Ops Planning'!$B:$B,$I$4,'2. Ops Planning'!$W:$W,"&gt;="&amp;$B7,'2. Ops Planning'!$W:$W,"&lt;"&amp;$B7+7))</f>
        <v/>
      </c>
      <c r="J7" s="86" t="n"/>
      <c r="K7" s="86" t="n">
        <v>30</v>
      </c>
      <c r="L7" s="138">
        <f>IF($B7="","",MIN(IF(J7="",K7,J7),I7))</f>
        <v/>
      </c>
      <c r="M7" s="139">
        <f>IF($B7="","",IFERROR(LOOKUP(2,1/(N7:N$57&gt;0),ROW(N7:N$57))-ROW(N7)+1,0))</f>
        <v/>
      </c>
      <c r="N7" s="140">
        <f>IF($B7="","",I7-L7)</f>
        <v/>
      </c>
      <c r="O7" s="137">
        <f>IF($B7="","",T6+SUMIFS('2. Ops Planning'!$C:$C,'2. Ops Planning'!$B:$B,$O$4,'2. Ops Planning'!$W:$W,"&gt;="&amp;$B7,'2. Ops Planning'!$W:$W,"&lt;"&amp;$B7+7))</f>
        <v/>
      </c>
      <c r="P7" s="86" t="n"/>
      <c r="Q7" s="86" t="n">
        <v>40</v>
      </c>
      <c r="R7" s="138">
        <f>IF($B7="","",MIN(IF(P7="",Q7,P7),O7))</f>
        <v/>
      </c>
      <c r="S7" s="139">
        <f>IF($B7="","",IFERROR(LOOKUP(2,1/(T7:T$57&gt;0),ROW(T7:T$57))-ROW(T7)+1,0))</f>
        <v/>
      </c>
      <c r="T7" s="140">
        <f>IF($B7="","",O7-R7)</f>
        <v/>
      </c>
      <c r="U7" s="137">
        <f>IF($B7="","",Z6+SUMIFS('2. Ops Planning'!$C:$C,'2. Ops Planning'!$B:$B,$U$4,'2. Ops Planning'!$W:$W,"&gt;="&amp;$B7,'2. Ops Planning'!$W:$W,"&lt;"&amp;$B7+7))</f>
        <v/>
      </c>
      <c r="V7" s="86" t="n"/>
      <c r="W7" s="86" t="n">
        <v>20</v>
      </c>
      <c r="X7" s="138">
        <f>IF($B7="","",MIN(IF(V7="",W7,V7),U7))</f>
        <v/>
      </c>
      <c r="Y7" s="139">
        <f>IF($B7="","",IFERROR(LOOKUP(2,1/(Z7:Z$57&gt;0),ROW(Z7:Z$57))-ROW(Z7)+1,0))</f>
        <v/>
      </c>
      <c r="Z7" s="140">
        <f>IF($B7="","",U7-X7)</f>
        <v/>
      </c>
    </row>
    <row r="8" ht="19.5" customHeight="1" s="58">
      <c r="A8" s="83" t="n">
        <v>3</v>
      </c>
      <c r="B8" s="84" t="n">
        <v>45677</v>
      </c>
      <c r="C8" s="137">
        <f>IF($B8="","",H7+SUMIFS('2. Ops Planning'!$C:$C,'2. Ops Planning'!$B:$B,$C$4,'2. Ops Planning'!$W:$W,"&gt;="&amp;$B8,'2. Ops Planning'!$W:$W,"&lt;"&amp;$B8+7))</f>
        <v/>
      </c>
      <c r="D8" s="86" t="n"/>
      <c r="E8" s="86" t="n">
        <v>50</v>
      </c>
      <c r="F8" s="138">
        <f>IF($B8="","",MIN(IF(D8="",E8,D8),C8))</f>
        <v/>
      </c>
      <c r="G8" s="139">
        <f>IF($B8="","",IFERROR(LOOKUP(2,1/(H8:H$57&gt;0),ROW(H8:H$57))-ROW(H8)+1,0))</f>
        <v/>
      </c>
      <c r="H8" s="140">
        <f>IF($B8="","",C8-F8)</f>
        <v/>
      </c>
      <c r="I8" s="137">
        <f>IF($B8="","",N7+SUMIFS('2. Ops Planning'!$C:$C,'2. Ops Planning'!$B:$B,$I$4,'2. Ops Planning'!$W:$W,"&gt;="&amp;$B8,'2. Ops Planning'!$W:$W,"&lt;"&amp;$B8+7))</f>
        <v/>
      </c>
      <c r="J8" s="86" t="n"/>
      <c r="K8" s="86" t="n">
        <v>30</v>
      </c>
      <c r="L8" s="138">
        <f>IF($B8="","",MIN(IF(J8="",K8,J8),I8))</f>
        <v/>
      </c>
      <c r="M8" s="139">
        <f>IF($B8="","",IFERROR(LOOKUP(2,1/(N8:N$57&gt;0),ROW(N8:N$57))-ROW(N8)+1,0))</f>
        <v/>
      </c>
      <c r="N8" s="140">
        <f>IF($B8="","",I8-L8)</f>
        <v/>
      </c>
      <c r="O8" s="137">
        <f>IF($B8="","",T7+SUMIFS('2. Ops Planning'!$C:$C,'2. Ops Planning'!$B:$B,$O$4,'2. Ops Planning'!$W:$W,"&gt;="&amp;$B8,'2. Ops Planning'!$W:$W,"&lt;"&amp;$B8+7))</f>
        <v/>
      </c>
      <c r="P8" s="86" t="n"/>
      <c r="Q8" s="86" t="n">
        <v>40</v>
      </c>
      <c r="R8" s="138">
        <f>IF($B8="","",MIN(IF(P8="",Q8,P8),O8))</f>
        <v/>
      </c>
      <c r="S8" s="139">
        <f>IF($B8="","",IFERROR(LOOKUP(2,1/(T8:T$57&gt;0),ROW(T8:T$57))-ROW(T8)+1,0))</f>
        <v/>
      </c>
      <c r="T8" s="140">
        <f>IF($B8="","",O8-R8)</f>
        <v/>
      </c>
      <c r="U8" s="137">
        <f>IF($B8="","",Z7+SUMIFS('2. Ops Planning'!$C:$C,'2. Ops Planning'!$B:$B,$U$4,'2. Ops Planning'!$W:$W,"&gt;="&amp;$B8,'2. Ops Planning'!$W:$W,"&lt;"&amp;$B8+7))</f>
        <v/>
      </c>
      <c r="V8" s="86" t="n"/>
      <c r="W8" s="86" t="n">
        <v>20</v>
      </c>
      <c r="X8" s="138">
        <f>IF($B8="","",MIN(IF(V8="",W8,V8),U8))</f>
        <v/>
      </c>
      <c r="Y8" s="139">
        <f>IF($B8="","",IFERROR(LOOKUP(2,1/(Z8:Z$57&gt;0),ROW(Z8:Z$57))-ROW(Z8)+1,0))</f>
        <v/>
      </c>
      <c r="Z8" s="140">
        <f>IF($B8="","",U8-X8)</f>
        <v/>
      </c>
    </row>
    <row r="9" ht="19.5" customHeight="1" s="58">
      <c r="A9" s="83" t="n">
        <v>4</v>
      </c>
      <c r="B9" s="84" t="n">
        <v>45684</v>
      </c>
      <c r="C9" s="137">
        <f>IF($B9="","",H8+SUMIFS('2. Ops Planning'!$C:$C,'2. Ops Planning'!$B:$B,$C$4,'2. Ops Planning'!$W:$W,"&gt;="&amp;$B9,'2. Ops Planning'!$W:$W,"&lt;"&amp;$B9+7))</f>
        <v/>
      </c>
      <c r="D9" s="86" t="n"/>
      <c r="E9" s="86" t="n">
        <v>50</v>
      </c>
      <c r="F9" s="138">
        <f>IF($B9="","",MIN(IF(D9="",E9,D9),C9))</f>
        <v/>
      </c>
      <c r="G9" s="139">
        <f>IF($B9="","",IFERROR(LOOKUP(2,1/(H9:H$57&gt;0),ROW(H9:H$57))-ROW(H9)+1,0))</f>
        <v/>
      </c>
      <c r="H9" s="140">
        <f>IF($B9="","",C9-F9)</f>
        <v/>
      </c>
      <c r="I9" s="137">
        <f>IF($B9="","",N8+SUMIFS('2. Ops Planning'!$C:$C,'2. Ops Planning'!$B:$B,$I$4,'2. Ops Planning'!$W:$W,"&gt;="&amp;$B9,'2. Ops Planning'!$W:$W,"&lt;"&amp;$B9+7))</f>
        <v/>
      </c>
      <c r="J9" s="86" t="n"/>
      <c r="K9" s="86" t="n">
        <v>30</v>
      </c>
      <c r="L9" s="138">
        <f>IF($B9="","",MIN(IF(J9="",K9,J9),I9))</f>
        <v/>
      </c>
      <c r="M9" s="139">
        <f>IF($B9="","",IFERROR(LOOKUP(2,1/(N9:N$57&gt;0),ROW(N9:N$57))-ROW(N9)+1,0))</f>
        <v/>
      </c>
      <c r="N9" s="140">
        <f>IF($B9="","",I9-L9)</f>
        <v/>
      </c>
      <c r="O9" s="137">
        <f>IF($B9="","",T8+SUMIFS('2. Ops Planning'!$C:$C,'2. Ops Planning'!$B:$B,$O$4,'2. Ops Planning'!$W:$W,"&gt;="&amp;$B9,'2. Ops Planning'!$W:$W,"&lt;"&amp;$B9+7))</f>
        <v/>
      </c>
      <c r="P9" s="86" t="n"/>
      <c r="Q9" s="86" t="n">
        <v>40</v>
      </c>
      <c r="R9" s="138">
        <f>IF($B9="","",MIN(IF(P9="",Q9,P9),O9))</f>
        <v/>
      </c>
      <c r="S9" s="139">
        <f>IF($B9="","",IFERROR(LOOKUP(2,1/(T9:T$57&gt;0),ROW(T9:T$57))-ROW(T9)+1,0))</f>
        <v/>
      </c>
      <c r="T9" s="140">
        <f>IF($B9="","",O9-R9)</f>
        <v/>
      </c>
      <c r="U9" s="137">
        <f>IF($B9="","",Z8+SUMIFS('2. Ops Planning'!$C:$C,'2. Ops Planning'!$B:$B,$U$4,'2. Ops Planning'!$W:$W,"&gt;="&amp;$B9,'2. Ops Planning'!$W:$W,"&lt;"&amp;$B9+7))</f>
        <v/>
      </c>
      <c r="V9" s="86" t="n"/>
      <c r="W9" s="86" t="n">
        <v>20</v>
      </c>
      <c r="X9" s="138">
        <f>IF($B9="","",MIN(IF(V9="",W9,V9),U9))</f>
        <v/>
      </c>
      <c r="Y9" s="139">
        <f>IF($B9="","",IFERROR(LOOKUP(2,1/(Z9:Z$57&gt;0),ROW(Z9:Z$57))-ROW(Z9)+1,0))</f>
        <v/>
      </c>
      <c r="Z9" s="140">
        <f>IF($B9="","",U9-X9)</f>
        <v/>
      </c>
    </row>
    <row r="10" ht="19.5" customHeight="1" s="58">
      <c r="A10" s="83" t="n">
        <v>5</v>
      </c>
      <c r="B10" s="84" t="n">
        <v>45691</v>
      </c>
      <c r="C10" s="137">
        <f>IF($B10="","",H9+SUMIFS('2. Ops Planning'!$C:$C,'2. Ops Planning'!$B:$B,$C$4,'2. Ops Planning'!$W:$W,"&gt;="&amp;$B10,'2. Ops Planning'!$W:$W,"&lt;"&amp;$B10+7))</f>
        <v/>
      </c>
      <c r="D10" s="86" t="n"/>
      <c r="E10" s="86" t="n">
        <v>50</v>
      </c>
      <c r="F10" s="138">
        <f>IF($B10="","",MIN(IF(D10="",E10,D10),C10))</f>
        <v/>
      </c>
      <c r="G10" s="139">
        <f>IF($B10="","",IFERROR(LOOKUP(2,1/(H10:H$57&gt;0),ROW(H10:H$57))-ROW(H10)+1,0))</f>
        <v/>
      </c>
      <c r="H10" s="140">
        <f>IF($B10="","",C10-F10)</f>
        <v/>
      </c>
      <c r="I10" s="137">
        <f>IF($B10="","",N9+SUMIFS('2. Ops Planning'!$C:$C,'2. Ops Planning'!$B:$B,$I$4,'2. Ops Planning'!$W:$W,"&gt;="&amp;$B10,'2. Ops Planning'!$W:$W,"&lt;"&amp;$B10+7))</f>
        <v/>
      </c>
      <c r="J10" s="86" t="n"/>
      <c r="K10" s="86" t="n">
        <v>30</v>
      </c>
      <c r="L10" s="138">
        <f>IF($B10="","",MIN(IF(J10="",K10,J10),I10))</f>
        <v/>
      </c>
      <c r="M10" s="139">
        <f>IF($B10="","",IFERROR(LOOKUP(2,1/(N10:N$57&gt;0),ROW(N10:N$57))-ROW(N10)+1,0))</f>
        <v/>
      </c>
      <c r="N10" s="140">
        <f>IF($B10="","",I10-L10)</f>
        <v/>
      </c>
      <c r="O10" s="137">
        <f>IF($B10="","",T9+SUMIFS('2. Ops Planning'!$C:$C,'2. Ops Planning'!$B:$B,$O$4,'2. Ops Planning'!$W:$W,"&gt;="&amp;$B10,'2. Ops Planning'!$W:$W,"&lt;"&amp;$B10+7))</f>
        <v/>
      </c>
      <c r="P10" s="86" t="n"/>
      <c r="Q10" s="86" t="n">
        <v>40</v>
      </c>
      <c r="R10" s="138">
        <f>IF($B10="","",MIN(IF(P10="",Q10,P10),O10))</f>
        <v/>
      </c>
      <c r="S10" s="139">
        <f>IF($B10="","",IFERROR(LOOKUP(2,1/(T10:T$57&gt;0),ROW(T10:T$57))-ROW(T10)+1,0))</f>
        <v/>
      </c>
      <c r="T10" s="140">
        <f>IF($B10="","",O10-R10)</f>
        <v/>
      </c>
      <c r="U10" s="137">
        <f>IF($B10="","",Z9+SUMIFS('2. Ops Planning'!$C:$C,'2. Ops Planning'!$B:$B,$U$4,'2. Ops Planning'!$W:$W,"&gt;="&amp;$B10,'2. Ops Planning'!$W:$W,"&lt;"&amp;$B10+7))</f>
        <v/>
      </c>
      <c r="V10" s="86" t="n"/>
      <c r="W10" s="86" t="n">
        <v>20</v>
      </c>
      <c r="X10" s="138">
        <f>IF($B10="","",MIN(IF(V10="",W10,V10),U10))</f>
        <v/>
      </c>
      <c r="Y10" s="139">
        <f>IF($B10="","",IFERROR(LOOKUP(2,1/(Z10:Z$57&gt;0),ROW(Z10:Z$57))-ROW(Z10)+1,0))</f>
        <v/>
      </c>
      <c r="Z10" s="140">
        <f>IF($B10="","",U10-X10)</f>
        <v/>
      </c>
    </row>
    <row r="11" ht="19.5" customHeight="1" s="58">
      <c r="A11" s="83" t="n">
        <v>6</v>
      </c>
      <c r="B11" s="84" t="n">
        <v>45698</v>
      </c>
      <c r="C11" s="137">
        <f>IF($B11="","",H10+SUMIFS('2. Ops Planning'!$C:$C,'2. Ops Planning'!$B:$B,$C$4,'2. Ops Planning'!$W:$W,"&gt;="&amp;$B11,'2. Ops Planning'!$W:$W,"&lt;"&amp;$B11+7))</f>
        <v/>
      </c>
      <c r="D11" s="86" t="n"/>
      <c r="E11" s="86" t="n">
        <v>50</v>
      </c>
      <c r="F11" s="138">
        <f>IF($B11="","",MIN(IF(D11="",E11,D11),C11))</f>
        <v/>
      </c>
      <c r="G11" s="139">
        <f>IF($B11="","",IFERROR(LOOKUP(2,1/(H11:H$57&gt;0),ROW(H11:H$57))-ROW(H11)+1,0))</f>
        <v/>
      </c>
      <c r="H11" s="140">
        <f>IF($B11="","",C11-F11)</f>
        <v/>
      </c>
      <c r="I11" s="137">
        <f>IF($B11="","",N10+SUMIFS('2. Ops Planning'!$C:$C,'2. Ops Planning'!$B:$B,$I$4,'2. Ops Planning'!$W:$W,"&gt;="&amp;$B11,'2. Ops Planning'!$W:$W,"&lt;"&amp;$B11+7))</f>
        <v/>
      </c>
      <c r="J11" s="86" t="n"/>
      <c r="K11" s="86" t="n">
        <v>30</v>
      </c>
      <c r="L11" s="138">
        <f>IF($B11="","",MIN(IF(J11="",K11,J11),I11))</f>
        <v/>
      </c>
      <c r="M11" s="139">
        <f>IF($B11="","",IFERROR(LOOKUP(2,1/(N11:N$57&gt;0),ROW(N11:N$57))-ROW(N11)+1,0))</f>
        <v/>
      </c>
      <c r="N11" s="140">
        <f>IF($B11="","",I11-L11)</f>
        <v/>
      </c>
      <c r="O11" s="137">
        <f>IF($B11="","",T10+SUMIFS('2. Ops Planning'!$C:$C,'2. Ops Planning'!$B:$B,$O$4,'2. Ops Planning'!$W:$W,"&gt;="&amp;$B11,'2. Ops Planning'!$W:$W,"&lt;"&amp;$B11+7))</f>
        <v/>
      </c>
      <c r="P11" s="86" t="n"/>
      <c r="Q11" s="86" t="n">
        <v>40</v>
      </c>
      <c r="R11" s="138">
        <f>IF($B11="","",MIN(IF(P11="",Q11,P11),O11))</f>
        <v/>
      </c>
      <c r="S11" s="139">
        <f>IF($B11="","",IFERROR(LOOKUP(2,1/(T11:T$57&gt;0),ROW(T11:T$57))-ROW(T11)+1,0))</f>
        <v/>
      </c>
      <c r="T11" s="140">
        <f>IF($B11="","",O11-R11)</f>
        <v/>
      </c>
      <c r="U11" s="137">
        <f>IF($B11="","",Z10+SUMIFS('2. Ops Planning'!$C:$C,'2. Ops Planning'!$B:$B,$U$4,'2. Ops Planning'!$W:$W,"&gt;="&amp;$B11,'2. Ops Planning'!$W:$W,"&lt;"&amp;$B11+7))</f>
        <v/>
      </c>
      <c r="V11" s="86" t="n"/>
      <c r="W11" s="86" t="n">
        <v>20</v>
      </c>
      <c r="X11" s="138">
        <f>IF($B11="","",MIN(IF(V11="",W11,V11),U11))</f>
        <v/>
      </c>
      <c r="Y11" s="139">
        <f>IF($B11="","",IFERROR(LOOKUP(2,1/(Z11:Z$57&gt;0),ROW(Z11:Z$57))-ROW(Z11)+1,0))</f>
        <v/>
      </c>
      <c r="Z11" s="140">
        <f>IF($B11="","",U11-X11)</f>
        <v/>
      </c>
    </row>
    <row r="12" ht="19.5" customHeight="1" s="58">
      <c r="A12" s="83" t="n">
        <v>7</v>
      </c>
      <c r="B12" s="84" t="n">
        <v>45705</v>
      </c>
      <c r="C12" s="137">
        <f>IF($B12="","",H11+SUMIFS('2. Ops Planning'!$C:$C,'2. Ops Planning'!$B:$B,$C$4,'2. Ops Planning'!$W:$W,"&gt;="&amp;$B12,'2. Ops Planning'!$W:$W,"&lt;"&amp;$B12+7))</f>
        <v/>
      </c>
      <c r="D12" s="86" t="n"/>
      <c r="E12" s="86" t="n">
        <v>50</v>
      </c>
      <c r="F12" s="138">
        <f>IF($B12="","",MIN(IF(D12="",E12,D12),C12))</f>
        <v/>
      </c>
      <c r="G12" s="139">
        <f>IF($B12="","",IFERROR(LOOKUP(2,1/(H12:H$57&gt;0),ROW(H12:H$57))-ROW(H12)+1,0))</f>
        <v/>
      </c>
      <c r="H12" s="140">
        <f>IF($B12="","",C12-F12)</f>
        <v/>
      </c>
      <c r="I12" s="137">
        <f>IF($B12="","",N11+SUMIFS('2. Ops Planning'!$C:$C,'2. Ops Planning'!$B:$B,$I$4,'2. Ops Planning'!$W:$W,"&gt;="&amp;$B12,'2. Ops Planning'!$W:$W,"&lt;"&amp;$B12+7))</f>
        <v/>
      </c>
      <c r="J12" s="86" t="n"/>
      <c r="K12" s="86" t="n">
        <v>30</v>
      </c>
      <c r="L12" s="138">
        <f>IF($B12="","",MIN(IF(J12="",K12,J12),I12))</f>
        <v/>
      </c>
      <c r="M12" s="139">
        <f>IF($B12="","",IFERROR(LOOKUP(2,1/(N12:N$57&gt;0),ROW(N12:N$57))-ROW(N12)+1,0))</f>
        <v/>
      </c>
      <c r="N12" s="140">
        <f>IF($B12="","",I12-L12)</f>
        <v/>
      </c>
      <c r="O12" s="137">
        <f>IF($B12="","",T11+SUMIFS('2. Ops Planning'!$C:$C,'2. Ops Planning'!$B:$B,$O$4,'2. Ops Planning'!$W:$W,"&gt;="&amp;$B12,'2. Ops Planning'!$W:$W,"&lt;"&amp;$B12+7))</f>
        <v/>
      </c>
      <c r="P12" s="86" t="n"/>
      <c r="Q12" s="86" t="n">
        <v>40</v>
      </c>
      <c r="R12" s="138">
        <f>IF($B12="","",MIN(IF(P12="",Q12,P12),O12))</f>
        <v/>
      </c>
      <c r="S12" s="139">
        <f>IF($B12="","",IFERROR(LOOKUP(2,1/(T12:T$57&gt;0),ROW(T12:T$57))-ROW(T12)+1,0))</f>
        <v/>
      </c>
      <c r="T12" s="140">
        <f>IF($B12="","",O12-R12)</f>
        <v/>
      </c>
      <c r="U12" s="137">
        <f>IF($B12="","",Z11+SUMIFS('2. Ops Planning'!$C:$C,'2. Ops Planning'!$B:$B,$U$4,'2. Ops Planning'!$W:$W,"&gt;="&amp;$B12,'2. Ops Planning'!$W:$W,"&lt;"&amp;$B12+7))</f>
        <v/>
      </c>
      <c r="V12" s="86" t="n"/>
      <c r="W12" s="86" t="n">
        <v>20</v>
      </c>
      <c r="X12" s="138">
        <f>IF($B12="","",MIN(IF(V12="",W12,V12),U12))</f>
        <v/>
      </c>
      <c r="Y12" s="139">
        <f>IF($B12="","",IFERROR(LOOKUP(2,1/(Z12:Z$57&gt;0),ROW(Z12:Z$57))-ROW(Z12)+1,0))</f>
        <v/>
      </c>
      <c r="Z12" s="140">
        <f>IF($B12="","",U12-X12)</f>
        <v/>
      </c>
    </row>
    <row r="13" ht="19.5" customHeight="1" s="58">
      <c r="A13" s="83" t="n">
        <v>8</v>
      </c>
      <c r="B13" s="84" t="n">
        <v>45712</v>
      </c>
      <c r="C13" s="137">
        <f>IF($B13="","",H12+SUMIFS('2. Ops Planning'!$C:$C,'2. Ops Planning'!$B:$B,$C$4,'2. Ops Planning'!$W:$W,"&gt;="&amp;$B13,'2. Ops Planning'!$W:$W,"&lt;"&amp;$B13+7))</f>
        <v/>
      </c>
      <c r="D13" s="86" t="n"/>
      <c r="E13" s="86" t="n">
        <v>50</v>
      </c>
      <c r="F13" s="138">
        <f>IF($B13="","",MIN(IF(D13="",E13,D13),C13))</f>
        <v/>
      </c>
      <c r="G13" s="139">
        <f>IF($B13="","",IFERROR(LOOKUP(2,1/(H13:H$57&gt;0),ROW(H13:H$57))-ROW(H13)+1,0))</f>
        <v/>
      </c>
      <c r="H13" s="140">
        <f>IF($B13="","",C13-F13)</f>
        <v/>
      </c>
      <c r="I13" s="137">
        <f>IF($B13="","",N12+SUMIFS('2. Ops Planning'!$C:$C,'2. Ops Planning'!$B:$B,$I$4,'2. Ops Planning'!$W:$W,"&gt;="&amp;$B13,'2. Ops Planning'!$W:$W,"&lt;"&amp;$B13+7))</f>
        <v/>
      </c>
      <c r="J13" s="86" t="n"/>
      <c r="K13" s="86" t="n">
        <v>30</v>
      </c>
      <c r="L13" s="138">
        <f>IF($B13="","",MIN(IF(J13="",K13,J13),I13))</f>
        <v/>
      </c>
      <c r="M13" s="139">
        <f>IF($B13="","",IFERROR(LOOKUP(2,1/(N13:N$57&gt;0),ROW(N13:N$57))-ROW(N13)+1,0))</f>
        <v/>
      </c>
      <c r="N13" s="140">
        <f>IF($B13="","",I13-L13)</f>
        <v/>
      </c>
      <c r="O13" s="137">
        <f>IF($B13="","",T12+SUMIFS('2. Ops Planning'!$C:$C,'2. Ops Planning'!$B:$B,$O$4,'2. Ops Planning'!$W:$W,"&gt;="&amp;$B13,'2. Ops Planning'!$W:$W,"&lt;"&amp;$B13+7))</f>
        <v/>
      </c>
      <c r="P13" s="86" t="n"/>
      <c r="Q13" s="86" t="n">
        <v>40</v>
      </c>
      <c r="R13" s="138">
        <f>IF($B13="","",MIN(IF(P13="",Q13,P13),O13))</f>
        <v/>
      </c>
      <c r="S13" s="139">
        <f>IF($B13="","",IFERROR(LOOKUP(2,1/(T13:T$57&gt;0),ROW(T13:T$57))-ROW(T13)+1,0))</f>
        <v/>
      </c>
      <c r="T13" s="140">
        <f>IF($B13="","",O13-R13)</f>
        <v/>
      </c>
      <c r="U13" s="137">
        <f>IF($B13="","",Z12+SUMIFS('2. Ops Planning'!$C:$C,'2. Ops Planning'!$B:$B,$U$4,'2. Ops Planning'!$W:$W,"&gt;="&amp;$B13,'2. Ops Planning'!$W:$W,"&lt;"&amp;$B13+7))</f>
        <v/>
      </c>
      <c r="V13" s="86" t="n"/>
      <c r="W13" s="86" t="n">
        <v>20</v>
      </c>
      <c r="X13" s="138">
        <f>IF($B13="","",MIN(IF(V13="",W13,V13),U13))</f>
        <v/>
      </c>
      <c r="Y13" s="139">
        <f>IF($B13="","",IFERROR(LOOKUP(2,1/(Z13:Z$57&gt;0),ROW(Z13:Z$57))-ROW(Z13)+1,0))</f>
        <v/>
      </c>
      <c r="Z13" s="140">
        <f>IF($B13="","",U13-X13)</f>
        <v/>
      </c>
    </row>
    <row r="14" ht="19.5" customHeight="1" s="58">
      <c r="A14" s="83" t="n">
        <v>9</v>
      </c>
      <c r="B14" s="84" t="n">
        <v>45719</v>
      </c>
      <c r="C14" s="137">
        <f>IF($B14="","",H13+SUMIFS('2. Ops Planning'!$C:$C,'2. Ops Planning'!$B:$B,$C$4,'2. Ops Planning'!$W:$W,"&gt;="&amp;$B14,'2. Ops Planning'!$W:$W,"&lt;"&amp;$B14+7))</f>
        <v/>
      </c>
      <c r="D14" s="86" t="n"/>
      <c r="E14" s="86" t="n">
        <v>50</v>
      </c>
      <c r="F14" s="138">
        <f>IF($B14="","",MIN(IF(D14="",E14,D14),C14))</f>
        <v/>
      </c>
      <c r="G14" s="139">
        <f>IF($B14="","",IFERROR(LOOKUP(2,1/(H14:H$57&gt;0),ROW(H14:H$57))-ROW(H14)+1,0))</f>
        <v/>
      </c>
      <c r="H14" s="140">
        <f>IF($B14="","",C14-F14)</f>
        <v/>
      </c>
      <c r="I14" s="137">
        <f>IF($B14="","",N13+SUMIFS('2. Ops Planning'!$C:$C,'2. Ops Planning'!$B:$B,$I$4,'2. Ops Planning'!$W:$W,"&gt;="&amp;$B14,'2. Ops Planning'!$W:$W,"&lt;"&amp;$B14+7))</f>
        <v/>
      </c>
      <c r="J14" s="86" t="n"/>
      <c r="K14" s="86" t="n">
        <v>30</v>
      </c>
      <c r="L14" s="138">
        <f>IF($B14="","",MIN(IF(J14="",K14,J14),I14))</f>
        <v/>
      </c>
      <c r="M14" s="139">
        <f>IF($B14="","",IFERROR(LOOKUP(2,1/(N14:N$57&gt;0),ROW(N14:N$57))-ROW(N14)+1,0))</f>
        <v/>
      </c>
      <c r="N14" s="140">
        <f>IF($B14="","",I14-L14)</f>
        <v/>
      </c>
      <c r="O14" s="137">
        <f>IF($B14="","",T13+SUMIFS('2. Ops Planning'!$C:$C,'2. Ops Planning'!$B:$B,$O$4,'2. Ops Planning'!$W:$W,"&gt;="&amp;$B14,'2. Ops Planning'!$W:$W,"&lt;"&amp;$B14+7))</f>
        <v/>
      </c>
      <c r="P14" s="86" t="n"/>
      <c r="Q14" s="86" t="n">
        <v>40</v>
      </c>
      <c r="R14" s="138">
        <f>IF($B14="","",MIN(IF(P14="",Q14,P14),O14))</f>
        <v/>
      </c>
      <c r="S14" s="139">
        <f>IF($B14="","",IFERROR(LOOKUP(2,1/(T14:T$57&gt;0),ROW(T14:T$57))-ROW(T14)+1,0))</f>
        <v/>
      </c>
      <c r="T14" s="140">
        <f>IF($B14="","",O14-R14)</f>
        <v/>
      </c>
      <c r="U14" s="137">
        <f>IF($B14="","",Z13+SUMIFS('2. Ops Planning'!$C:$C,'2. Ops Planning'!$B:$B,$U$4,'2. Ops Planning'!$W:$W,"&gt;="&amp;$B14,'2. Ops Planning'!$W:$W,"&lt;"&amp;$B14+7))</f>
        <v/>
      </c>
      <c r="V14" s="86" t="n"/>
      <c r="W14" s="86" t="n">
        <v>20</v>
      </c>
      <c r="X14" s="138">
        <f>IF($B14="","",MIN(IF(V14="",W14,V14),U14))</f>
        <v/>
      </c>
      <c r="Y14" s="139">
        <f>IF($B14="","",IFERROR(LOOKUP(2,1/(Z14:Z$57&gt;0),ROW(Z14:Z$57))-ROW(Z14)+1,0))</f>
        <v/>
      </c>
      <c r="Z14" s="140">
        <f>IF($B14="","",U14-X14)</f>
        <v/>
      </c>
    </row>
    <row r="15" ht="19.5" customHeight="1" s="58">
      <c r="A15" s="83" t="n">
        <v>10</v>
      </c>
      <c r="B15" s="84" t="n">
        <v>45726</v>
      </c>
      <c r="C15" s="137">
        <f>IF($B15="","",H14+SUMIFS('2. Ops Planning'!$C:$C,'2. Ops Planning'!$B:$B,$C$4,'2. Ops Planning'!$W:$W,"&gt;="&amp;$B15,'2. Ops Planning'!$W:$W,"&lt;"&amp;$B15+7))</f>
        <v/>
      </c>
      <c r="D15" s="86" t="n"/>
      <c r="E15" s="86" t="n">
        <v>50</v>
      </c>
      <c r="F15" s="138">
        <f>IF($B15="","",MIN(IF(D15="",E15,D15),C15))</f>
        <v/>
      </c>
      <c r="G15" s="139">
        <f>IF($B15="","",IFERROR(LOOKUP(2,1/(H15:H$57&gt;0),ROW(H15:H$57))-ROW(H15)+1,0))</f>
        <v/>
      </c>
      <c r="H15" s="140">
        <f>IF($B15="","",C15-F15)</f>
        <v/>
      </c>
      <c r="I15" s="137">
        <f>IF($B15="","",N14+SUMIFS('2. Ops Planning'!$C:$C,'2. Ops Planning'!$B:$B,$I$4,'2. Ops Planning'!$W:$W,"&gt;="&amp;$B15,'2. Ops Planning'!$W:$W,"&lt;"&amp;$B15+7))</f>
        <v/>
      </c>
      <c r="J15" s="86" t="n"/>
      <c r="K15" s="86" t="n">
        <v>30</v>
      </c>
      <c r="L15" s="138">
        <f>IF($B15="","",MIN(IF(J15="",K15,J15),I15))</f>
        <v/>
      </c>
      <c r="M15" s="139">
        <f>IF($B15="","",IFERROR(LOOKUP(2,1/(N15:N$57&gt;0),ROW(N15:N$57))-ROW(N15)+1,0))</f>
        <v/>
      </c>
      <c r="N15" s="140">
        <f>IF($B15="","",I15-L15)</f>
        <v/>
      </c>
      <c r="O15" s="137">
        <f>IF($B15="","",T14+SUMIFS('2. Ops Planning'!$C:$C,'2. Ops Planning'!$B:$B,$O$4,'2. Ops Planning'!$W:$W,"&gt;="&amp;$B15,'2. Ops Planning'!$W:$W,"&lt;"&amp;$B15+7))</f>
        <v/>
      </c>
      <c r="P15" s="86" t="n"/>
      <c r="Q15" s="86" t="n">
        <v>40</v>
      </c>
      <c r="R15" s="138">
        <f>IF($B15="","",MIN(IF(P15="",Q15,P15),O15))</f>
        <v/>
      </c>
      <c r="S15" s="139">
        <f>IF($B15="","",IFERROR(LOOKUP(2,1/(T15:T$57&gt;0),ROW(T15:T$57))-ROW(T15)+1,0))</f>
        <v/>
      </c>
      <c r="T15" s="140">
        <f>IF($B15="","",O15-R15)</f>
        <v/>
      </c>
      <c r="U15" s="137">
        <f>IF($B15="","",Z14+SUMIFS('2. Ops Planning'!$C:$C,'2. Ops Planning'!$B:$B,$U$4,'2. Ops Planning'!$W:$W,"&gt;="&amp;$B15,'2. Ops Planning'!$W:$W,"&lt;"&amp;$B15+7))</f>
        <v/>
      </c>
      <c r="V15" s="86" t="n"/>
      <c r="W15" s="86" t="n">
        <v>20</v>
      </c>
      <c r="X15" s="138">
        <f>IF($B15="","",MIN(IF(V15="",W15,V15),U15))</f>
        <v/>
      </c>
      <c r="Y15" s="139">
        <f>IF($B15="","",IFERROR(LOOKUP(2,1/(Z15:Z$57&gt;0),ROW(Z15:Z$57))-ROW(Z15)+1,0))</f>
        <v/>
      </c>
      <c r="Z15" s="140">
        <f>IF($B15="","",U15-X15)</f>
        <v/>
      </c>
    </row>
    <row r="16" ht="19.5" customHeight="1" s="58">
      <c r="A16" s="83" t="n">
        <v>11</v>
      </c>
      <c r="B16" s="84" t="n">
        <v>45733</v>
      </c>
      <c r="C16" s="137">
        <f>IF($B16="","",H15+SUMIFS('2. Ops Planning'!$C:$C,'2. Ops Planning'!$B:$B,$C$4,'2. Ops Planning'!$W:$W,"&gt;="&amp;$B16,'2. Ops Planning'!$W:$W,"&lt;"&amp;$B16+7))</f>
        <v/>
      </c>
      <c r="D16" s="86" t="n"/>
      <c r="E16" s="86" t="n">
        <v>50</v>
      </c>
      <c r="F16" s="138">
        <f>IF($B16="","",MIN(IF(D16="",E16,D16),C16))</f>
        <v/>
      </c>
      <c r="G16" s="139">
        <f>IF($B16="","",IFERROR(LOOKUP(2,1/(H16:H$57&gt;0),ROW(H16:H$57))-ROW(H16)+1,0))</f>
        <v/>
      </c>
      <c r="H16" s="140">
        <f>IF($B16="","",C16-F16)</f>
        <v/>
      </c>
      <c r="I16" s="137">
        <f>IF($B16="","",N15+SUMIFS('2. Ops Planning'!$C:$C,'2. Ops Planning'!$B:$B,$I$4,'2. Ops Planning'!$W:$W,"&gt;="&amp;$B16,'2. Ops Planning'!$W:$W,"&lt;"&amp;$B16+7))</f>
        <v/>
      </c>
      <c r="J16" s="86" t="n"/>
      <c r="K16" s="86" t="n">
        <v>30</v>
      </c>
      <c r="L16" s="138">
        <f>IF($B16="","",MIN(IF(J16="",K16,J16),I16))</f>
        <v/>
      </c>
      <c r="M16" s="139">
        <f>IF($B16="","",IFERROR(LOOKUP(2,1/(N16:N$57&gt;0),ROW(N16:N$57))-ROW(N16)+1,0))</f>
        <v/>
      </c>
      <c r="N16" s="140">
        <f>IF($B16="","",I16-L16)</f>
        <v/>
      </c>
      <c r="O16" s="137">
        <f>IF($B16="","",T15+SUMIFS('2. Ops Planning'!$C:$C,'2. Ops Planning'!$B:$B,$O$4,'2. Ops Planning'!$W:$W,"&gt;="&amp;$B16,'2. Ops Planning'!$W:$W,"&lt;"&amp;$B16+7))</f>
        <v/>
      </c>
      <c r="P16" s="86" t="n"/>
      <c r="Q16" s="86" t="n">
        <v>40</v>
      </c>
      <c r="R16" s="138">
        <f>IF($B16="","",MIN(IF(P16="",Q16,P16),O16))</f>
        <v/>
      </c>
      <c r="S16" s="139">
        <f>IF($B16="","",IFERROR(LOOKUP(2,1/(T16:T$57&gt;0),ROW(T16:T$57))-ROW(T16)+1,0))</f>
        <v/>
      </c>
      <c r="T16" s="140">
        <f>IF($B16="","",O16-R16)</f>
        <v/>
      </c>
      <c r="U16" s="137">
        <f>IF($B16="","",Z15+SUMIFS('2. Ops Planning'!$C:$C,'2. Ops Planning'!$B:$B,$U$4,'2. Ops Planning'!$W:$W,"&gt;="&amp;$B16,'2. Ops Planning'!$W:$W,"&lt;"&amp;$B16+7))</f>
        <v/>
      </c>
      <c r="V16" s="86" t="n"/>
      <c r="W16" s="86" t="n">
        <v>20</v>
      </c>
      <c r="X16" s="138">
        <f>IF($B16="","",MIN(IF(V16="",W16,V16),U16))</f>
        <v/>
      </c>
      <c r="Y16" s="139">
        <f>IF($B16="","",IFERROR(LOOKUP(2,1/(Z16:Z$57&gt;0),ROW(Z16:Z$57))-ROW(Z16)+1,0))</f>
        <v/>
      </c>
      <c r="Z16" s="140">
        <f>IF($B16="","",U16-X16)</f>
        <v/>
      </c>
    </row>
    <row r="17" ht="19.5" customHeight="1" s="58">
      <c r="A17" s="83" t="n">
        <v>12</v>
      </c>
      <c r="B17" s="84" t="n">
        <v>45740</v>
      </c>
      <c r="C17" s="137">
        <f>IF($B17="","",H16+SUMIFS('2. Ops Planning'!$C:$C,'2. Ops Planning'!$B:$B,$C$4,'2. Ops Planning'!$W:$W,"&gt;="&amp;$B17,'2. Ops Planning'!$W:$W,"&lt;"&amp;$B17+7))</f>
        <v/>
      </c>
      <c r="D17" s="86" t="n"/>
      <c r="E17" s="86" t="n">
        <v>50</v>
      </c>
      <c r="F17" s="138">
        <f>IF($B17="","",MIN(IF(D17="",E17,D17),C17))</f>
        <v/>
      </c>
      <c r="G17" s="139">
        <f>IF($B17="","",IFERROR(LOOKUP(2,1/(H17:H$57&gt;0),ROW(H17:H$57))-ROW(H17)+1,0))</f>
        <v/>
      </c>
      <c r="H17" s="140">
        <f>IF($B17="","",C17-F17)</f>
        <v/>
      </c>
      <c r="I17" s="137">
        <f>IF($B17="","",N16+SUMIFS('2. Ops Planning'!$C:$C,'2. Ops Planning'!$B:$B,$I$4,'2. Ops Planning'!$W:$W,"&gt;="&amp;$B17,'2. Ops Planning'!$W:$W,"&lt;"&amp;$B17+7))</f>
        <v/>
      </c>
      <c r="J17" s="86" t="n"/>
      <c r="K17" s="86" t="n">
        <v>30</v>
      </c>
      <c r="L17" s="138">
        <f>IF($B17="","",MIN(IF(J17="",K17,J17),I17))</f>
        <v/>
      </c>
      <c r="M17" s="139">
        <f>IF($B17="","",IFERROR(LOOKUP(2,1/(N17:N$57&gt;0),ROW(N17:N$57))-ROW(N17)+1,0))</f>
        <v/>
      </c>
      <c r="N17" s="140">
        <f>IF($B17="","",I17-L17)</f>
        <v/>
      </c>
      <c r="O17" s="137">
        <f>IF($B17="","",T16+SUMIFS('2. Ops Planning'!$C:$C,'2. Ops Planning'!$B:$B,$O$4,'2. Ops Planning'!$W:$W,"&gt;="&amp;$B17,'2. Ops Planning'!$W:$W,"&lt;"&amp;$B17+7))</f>
        <v/>
      </c>
      <c r="P17" s="86" t="n"/>
      <c r="Q17" s="86" t="n">
        <v>40</v>
      </c>
      <c r="R17" s="138">
        <f>IF($B17="","",MIN(IF(P17="",Q17,P17),O17))</f>
        <v/>
      </c>
      <c r="S17" s="139">
        <f>IF($B17="","",IFERROR(LOOKUP(2,1/(T17:T$57&gt;0),ROW(T17:T$57))-ROW(T17)+1,0))</f>
        <v/>
      </c>
      <c r="T17" s="140">
        <f>IF($B17="","",O17-R17)</f>
        <v/>
      </c>
      <c r="U17" s="137">
        <f>IF($B17="","",Z16+SUMIFS('2. Ops Planning'!$C:$C,'2. Ops Planning'!$B:$B,$U$4,'2. Ops Planning'!$W:$W,"&gt;="&amp;$B17,'2. Ops Planning'!$W:$W,"&lt;"&amp;$B17+7))</f>
        <v/>
      </c>
      <c r="V17" s="86" t="n"/>
      <c r="W17" s="86" t="n">
        <v>20</v>
      </c>
      <c r="X17" s="138">
        <f>IF($B17="","",MIN(IF(V17="",W17,V17),U17))</f>
        <v/>
      </c>
      <c r="Y17" s="139">
        <f>IF($B17="","",IFERROR(LOOKUP(2,1/(Z17:Z$57&gt;0),ROW(Z17:Z$57))-ROW(Z17)+1,0))</f>
        <v/>
      </c>
      <c r="Z17" s="140">
        <f>IF($B17="","",U17-X17)</f>
        <v/>
      </c>
    </row>
    <row r="18" ht="19.5" customHeight="1" s="58">
      <c r="A18" s="83" t="n">
        <v>13</v>
      </c>
      <c r="B18" s="84" t="n">
        <v>45747</v>
      </c>
      <c r="C18" s="137">
        <f>IF($B18="","",H17+SUMIFS('2. Ops Planning'!$C:$C,'2. Ops Planning'!$B:$B,$C$4,'2. Ops Planning'!$W:$W,"&gt;="&amp;$B18,'2. Ops Planning'!$W:$W,"&lt;"&amp;$B18+7))</f>
        <v/>
      </c>
      <c r="D18" s="86" t="n"/>
      <c r="E18" s="86" t="n">
        <v>50</v>
      </c>
      <c r="F18" s="138">
        <f>IF($B18="","",MIN(IF(D18="",E18,D18),C18))</f>
        <v/>
      </c>
      <c r="G18" s="139">
        <f>IF($B18="","",IFERROR(LOOKUP(2,1/(H18:H$57&gt;0),ROW(H18:H$57))-ROW(H18)+1,0))</f>
        <v/>
      </c>
      <c r="H18" s="140">
        <f>IF($B18="","",C18-F18)</f>
        <v/>
      </c>
      <c r="I18" s="137">
        <f>IF($B18="","",N17+SUMIFS('2. Ops Planning'!$C:$C,'2. Ops Planning'!$B:$B,$I$4,'2. Ops Planning'!$W:$W,"&gt;="&amp;$B18,'2. Ops Planning'!$W:$W,"&lt;"&amp;$B18+7))</f>
        <v/>
      </c>
      <c r="J18" s="86" t="n"/>
      <c r="K18" s="86" t="n">
        <v>30</v>
      </c>
      <c r="L18" s="138">
        <f>IF($B18="","",MIN(IF(J18="",K18,J18),I18))</f>
        <v/>
      </c>
      <c r="M18" s="139">
        <f>IF($B18="","",IFERROR(LOOKUP(2,1/(N18:N$57&gt;0),ROW(N18:N$57))-ROW(N18)+1,0))</f>
        <v/>
      </c>
      <c r="N18" s="140">
        <f>IF($B18="","",I18-L18)</f>
        <v/>
      </c>
      <c r="O18" s="137">
        <f>IF($B18="","",T17+SUMIFS('2. Ops Planning'!$C:$C,'2. Ops Planning'!$B:$B,$O$4,'2. Ops Planning'!$W:$W,"&gt;="&amp;$B18,'2. Ops Planning'!$W:$W,"&lt;"&amp;$B18+7))</f>
        <v/>
      </c>
      <c r="P18" s="86" t="n"/>
      <c r="Q18" s="86" t="n">
        <v>40</v>
      </c>
      <c r="R18" s="138">
        <f>IF($B18="","",MIN(IF(P18="",Q18,P18),O18))</f>
        <v/>
      </c>
      <c r="S18" s="139">
        <f>IF($B18="","",IFERROR(LOOKUP(2,1/(T18:T$57&gt;0),ROW(T18:T$57))-ROW(T18)+1,0))</f>
        <v/>
      </c>
      <c r="T18" s="140">
        <f>IF($B18="","",O18-R18)</f>
        <v/>
      </c>
      <c r="U18" s="137">
        <f>IF($B18="","",Z17+SUMIFS('2. Ops Planning'!$C:$C,'2. Ops Planning'!$B:$B,$U$4,'2. Ops Planning'!$W:$W,"&gt;="&amp;$B18,'2. Ops Planning'!$W:$W,"&lt;"&amp;$B18+7))</f>
        <v/>
      </c>
      <c r="V18" s="86" t="n"/>
      <c r="W18" s="86" t="n">
        <v>20</v>
      </c>
      <c r="X18" s="138">
        <f>IF($B18="","",MIN(IF(V18="",W18,V18),U18))</f>
        <v/>
      </c>
      <c r="Y18" s="139">
        <f>IF($B18="","",IFERROR(LOOKUP(2,1/(Z18:Z$57&gt;0),ROW(Z18:Z$57))-ROW(Z18)+1,0))</f>
        <v/>
      </c>
      <c r="Z18" s="140">
        <f>IF($B18="","",U18-X18)</f>
        <v/>
      </c>
    </row>
    <row r="19" ht="19.5" customHeight="1" s="58">
      <c r="A19" s="83" t="n">
        <v>14</v>
      </c>
      <c r="B19" s="84" t="n">
        <v>45754</v>
      </c>
      <c r="C19" s="137">
        <f>IF($B19="","",H18+SUMIFS('2. Ops Planning'!$C:$C,'2. Ops Planning'!$B:$B,$C$4,'2. Ops Planning'!$W:$W,"&gt;="&amp;$B19,'2. Ops Planning'!$W:$W,"&lt;"&amp;$B19+7))</f>
        <v/>
      </c>
      <c r="D19" s="86" t="n"/>
      <c r="E19" s="86" t="n">
        <v>65</v>
      </c>
      <c r="F19" s="138">
        <f>IF($B19="","",MIN(IF(D19="",E19,D19),C19))</f>
        <v/>
      </c>
      <c r="G19" s="139">
        <f>IF($B19="","",IFERROR(LOOKUP(2,1/(H19:H$57&gt;0),ROW(H19:H$57))-ROW(H19)+1,0))</f>
        <v/>
      </c>
      <c r="H19" s="140">
        <f>IF($B19="","",C19-F19)</f>
        <v/>
      </c>
      <c r="I19" s="137">
        <f>IF($B19="","",N18+SUMIFS('2. Ops Planning'!$C:$C,'2. Ops Planning'!$B:$B,$I$4,'2. Ops Planning'!$W:$W,"&gt;="&amp;$B19,'2. Ops Planning'!$W:$W,"&lt;"&amp;$B19+7))</f>
        <v/>
      </c>
      <c r="J19" s="86" t="n"/>
      <c r="K19" s="86" t="n">
        <v>39</v>
      </c>
      <c r="L19" s="138">
        <f>IF($B19="","",MIN(IF(J19="",K19,J19),I19))</f>
        <v/>
      </c>
      <c r="M19" s="139">
        <f>IF($B19="","",IFERROR(LOOKUP(2,1/(N19:N$57&gt;0),ROW(N19:N$57))-ROW(N19)+1,0))</f>
        <v/>
      </c>
      <c r="N19" s="140">
        <f>IF($B19="","",I19-L19)</f>
        <v/>
      </c>
      <c r="O19" s="137">
        <f>IF($B19="","",T18+SUMIFS('2. Ops Planning'!$C:$C,'2. Ops Planning'!$B:$B,$O$4,'2. Ops Planning'!$W:$W,"&gt;="&amp;$B19,'2. Ops Planning'!$W:$W,"&lt;"&amp;$B19+7))</f>
        <v/>
      </c>
      <c r="P19" s="86" t="n"/>
      <c r="Q19" s="86" t="n">
        <v>40</v>
      </c>
      <c r="R19" s="138">
        <f>IF($B19="","",MIN(IF(P19="",Q19,P19),O19))</f>
        <v/>
      </c>
      <c r="S19" s="139">
        <f>IF($B19="","",IFERROR(LOOKUP(2,1/(T19:T$57&gt;0),ROW(T19:T$57))-ROW(T19)+1,0))</f>
        <v/>
      </c>
      <c r="T19" s="140">
        <f>IF($B19="","",O19-R19)</f>
        <v/>
      </c>
      <c r="U19" s="137">
        <f>IF($B19="","",Z18+SUMIFS('2. Ops Planning'!$C:$C,'2. Ops Planning'!$B:$B,$U$4,'2. Ops Planning'!$W:$W,"&gt;="&amp;$B19,'2. Ops Planning'!$W:$W,"&lt;"&amp;$B19+7))</f>
        <v/>
      </c>
      <c r="V19" s="86" t="n"/>
      <c r="W19" s="86" t="n">
        <v>20</v>
      </c>
      <c r="X19" s="138">
        <f>IF($B19="","",MIN(IF(V19="",W19,V19),U19))</f>
        <v/>
      </c>
      <c r="Y19" s="139">
        <f>IF($B19="","",IFERROR(LOOKUP(2,1/(Z19:Z$57&gt;0),ROW(Z19:Z$57))-ROW(Z19)+1,0))</f>
        <v/>
      </c>
      <c r="Z19" s="140">
        <f>IF($B19="","",U19-X19)</f>
        <v/>
      </c>
    </row>
    <row r="20" ht="19.5" customHeight="1" s="58">
      <c r="A20" s="83" t="n">
        <v>15</v>
      </c>
      <c r="B20" s="84" t="n">
        <v>45761</v>
      </c>
      <c r="C20" s="137">
        <f>IF($B20="","",H19+SUMIFS('2. Ops Planning'!$C:$C,'2. Ops Planning'!$B:$B,$C$4,'2. Ops Planning'!$W:$W,"&gt;="&amp;$B20,'2. Ops Planning'!$W:$W,"&lt;"&amp;$B20+7))</f>
        <v/>
      </c>
      <c r="D20" s="86" t="n"/>
      <c r="E20" s="86" t="n">
        <v>65</v>
      </c>
      <c r="F20" s="138">
        <f>IF($B20="","",MIN(IF(D20="",E20,D20),C20))</f>
        <v/>
      </c>
      <c r="G20" s="139">
        <f>IF($B20="","",IFERROR(LOOKUP(2,1/(H20:H$57&gt;0),ROW(H20:H$57))-ROW(H20)+1,0))</f>
        <v/>
      </c>
      <c r="H20" s="140">
        <f>IF($B20="","",C20-F20)</f>
        <v/>
      </c>
      <c r="I20" s="137">
        <f>IF($B20="","",N19+SUMIFS('2. Ops Planning'!$C:$C,'2. Ops Planning'!$B:$B,$I$4,'2. Ops Planning'!$W:$W,"&gt;="&amp;$B20,'2. Ops Planning'!$W:$W,"&lt;"&amp;$B20+7))</f>
        <v/>
      </c>
      <c r="J20" s="86" t="n"/>
      <c r="K20" s="86" t="n">
        <v>39</v>
      </c>
      <c r="L20" s="138">
        <f>IF($B20="","",MIN(IF(J20="",K20,J20),I20))</f>
        <v/>
      </c>
      <c r="M20" s="139">
        <f>IF($B20="","",IFERROR(LOOKUP(2,1/(N20:N$57&gt;0),ROW(N20:N$57))-ROW(N20)+1,0))</f>
        <v/>
      </c>
      <c r="N20" s="140">
        <f>IF($B20="","",I20-L20)</f>
        <v/>
      </c>
      <c r="O20" s="137">
        <f>IF($B20="","",T19+SUMIFS('2. Ops Planning'!$C:$C,'2. Ops Planning'!$B:$B,$O$4,'2. Ops Planning'!$W:$W,"&gt;="&amp;$B20,'2. Ops Planning'!$W:$W,"&lt;"&amp;$B20+7))</f>
        <v/>
      </c>
      <c r="P20" s="86" t="n"/>
      <c r="Q20" s="86" t="n">
        <v>40</v>
      </c>
      <c r="R20" s="138">
        <f>IF($B20="","",MIN(IF(P20="",Q20,P20),O20))</f>
        <v/>
      </c>
      <c r="S20" s="139">
        <f>IF($B20="","",IFERROR(LOOKUP(2,1/(T20:T$57&gt;0),ROW(T20:T$57))-ROW(T20)+1,0))</f>
        <v/>
      </c>
      <c r="T20" s="140">
        <f>IF($B20="","",O20-R20)</f>
        <v/>
      </c>
      <c r="U20" s="137">
        <f>IF($B20="","",Z19+SUMIFS('2. Ops Planning'!$C:$C,'2. Ops Planning'!$B:$B,$U$4,'2. Ops Planning'!$W:$W,"&gt;="&amp;$B20,'2. Ops Planning'!$W:$W,"&lt;"&amp;$B20+7))</f>
        <v/>
      </c>
      <c r="V20" s="86" t="n"/>
      <c r="W20" s="86" t="n">
        <v>20</v>
      </c>
      <c r="X20" s="138">
        <f>IF($B20="","",MIN(IF(V20="",W20,V20),U20))</f>
        <v/>
      </c>
      <c r="Y20" s="139">
        <f>IF($B20="","",IFERROR(LOOKUP(2,1/(Z20:Z$57&gt;0),ROW(Z20:Z$57))-ROW(Z20)+1,0))</f>
        <v/>
      </c>
      <c r="Z20" s="140">
        <f>IF($B20="","",U20-X20)</f>
        <v/>
      </c>
    </row>
    <row r="21" ht="19.5" customHeight="1" s="58">
      <c r="A21" s="83" t="n">
        <v>16</v>
      </c>
      <c r="B21" s="84" t="n">
        <v>45768</v>
      </c>
      <c r="C21" s="137">
        <f>IF($B21="","",H20+SUMIFS('2. Ops Planning'!$C:$C,'2. Ops Planning'!$B:$B,$C$4,'2. Ops Planning'!$W:$W,"&gt;="&amp;$B21,'2. Ops Planning'!$W:$W,"&lt;"&amp;$B21+7))</f>
        <v/>
      </c>
      <c r="D21" s="86" t="n"/>
      <c r="E21" s="86" t="n">
        <v>65</v>
      </c>
      <c r="F21" s="138">
        <f>IF($B21="","",MIN(IF(D21="",E21,D21),C21))</f>
        <v/>
      </c>
      <c r="G21" s="139">
        <f>IF($B21="","",IFERROR(LOOKUP(2,1/(H21:H$57&gt;0),ROW(H21:H$57))-ROW(H21)+1,0))</f>
        <v/>
      </c>
      <c r="H21" s="140">
        <f>IF($B21="","",C21-F21)</f>
        <v/>
      </c>
      <c r="I21" s="137">
        <f>IF($B21="","",N20+SUMIFS('2. Ops Planning'!$C:$C,'2. Ops Planning'!$B:$B,$I$4,'2. Ops Planning'!$W:$W,"&gt;="&amp;$B21,'2. Ops Planning'!$W:$W,"&lt;"&amp;$B21+7))</f>
        <v/>
      </c>
      <c r="J21" s="86" t="n"/>
      <c r="K21" s="86" t="n">
        <v>39</v>
      </c>
      <c r="L21" s="138">
        <f>IF($B21="","",MIN(IF(J21="",K21,J21),I21))</f>
        <v/>
      </c>
      <c r="M21" s="139">
        <f>IF($B21="","",IFERROR(LOOKUP(2,1/(N21:N$57&gt;0),ROW(N21:N$57))-ROW(N21)+1,0))</f>
        <v/>
      </c>
      <c r="N21" s="140">
        <f>IF($B21="","",I21-L21)</f>
        <v/>
      </c>
      <c r="O21" s="137">
        <f>IF($B21="","",T20+SUMIFS('2. Ops Planning'!$C:$C,'2. Ops Planning'!$B:$B,$O$4,'2. Ops Planning'!$W:$W,"&gt;="&amp;$B21,'2. Ops Planning'!$W:$W,"&lt;"&amp;$B21+7))</f>
        <v/>
      </c>
      <c r="P21" s="86" t="n"/>
      <c r="Q21" s="86" t="n">
        <v>40</v>
      </c>
      <c r="R21" s="138">
        <f>IF($B21="","",MIN(IF(P21="",Q21,P21),O21))</f>
        <v/>
      </c>
      <c r="S21" s="139">
        <f>IF($B21="","",IFERROR(LOOKUP(2,1/(T21:T$57&gt;0),ROW(T21:T$57))-ROW(T21)+1,0))</f>
        <v/>
      </c>
      <c r="T21" s="140">
        <f>IF($B21="","",O21-R21)</f>
        <v/>
      </c>
      <c r="U21" s="137">
        <f>IF($B21="","",Z20+SUMIFS('2. Ops Planning'!$C:$C,'2. Ops Planning'!$B:$B,$U$4,'2. Ops Planning'!$W:$W,"&gt;="&amp;$B21,'2. Ops Planning'!$W:$W,"&lt;"&amp;$B21+7))</f>
        <v/>
      </c>
      <c r="V21" s="86" t="n"/>
      <c r="W21" s="86" t="n">
        <v>20</v>
      </c>
      <c r="X21" s="138">
        <f>IF($B21="","",MIN(IF(V21="",W21,V21),U21))</f>
        <v/>
      </c>
      <c r="Y21" s="139">
        <f>IF($B21="","",IFERROR(LOOKUP(2,1/(Z21:Z$57&gt;0),ROW(Z21:Z$57))-ROW(Z21)+1,0))</f>
        <v/>
      </c>
      <c r="Z21" s="140">
        <f>IF($B21="","",U21-X21)</f>
        <v/>
      </c>
    </row>
    <row r="22" ht="19.5" customHeight="1" s="58">
      <c r="A22" s="83" t="n">
        <v>17</v>
      </c>
      <c r="B22" s="84" t="n">
        <v>45775</v>
      </c>
      <c r="C22" s="137">
        <f>IF($B22="","",H21+SUMIFS('2. Ops Planning'!$C:$C,'2. Ops Planning'!$B:$B,$C$4,'2. Ops Planning'!$W:$W,"&gt;="&amp;$B22,'2. Ops Planning'!$W:$W,"&lt;"&amp;$B22+7))</f>
        <v/>
      </c>
      <c r="D22" s="86" t="n"/>
      <c r="E22" s="86" t="n">
        <v>65</v>
      </c>
      <c r="F22" s="138">
        <f>IF($B22="","",MIN(IF(D22="",E22,D22),C22))</f>
        <v/>
      </c>
      <c r="G22" s="139">
        <f>IF($B22="","",IFERROR(LOOKUP(2,1/(H22:H$57&gt;0),ROW(H22:H$57))-ROW(H22)+1,0))</f>
        <v/>
      </c>
      <c r="H22" s="140">
        <f>IF($B22="","",C22-F22)</f>
        <v/>
      </c>
      <c r="I22" s="137">
        <f>IF($B22="","",N21+SUMIFS('2. Ops Planning'!$C:$C,'2. Ops Planning'!$B:$B,$I$4,'2. Ops Planning'!$W:$W,"&gt;="&amp;$B22,'2. Ops Planning'!$W:$W,"&lt;"&amp;$B22+7))</f>
        <v/>
      </c>
      <c r="J22" s="86" t="n"/>
      <c r="K22" s="86" t="n">
        <v>39</v>
      </c>
      <c r="L22" s="138">
        <f>IF($B22="","",MIN(IF(J22="",K22,J22),I22))</f>
        <v/>
      </c>
      <c r="M22" s="139">
        <f>IF($B22="","",IFERROR(LOOKUP(2,1/(N22:N$57&gt;0),ROW(N22:N$57))-ROW(N22)+1,0))</f>
        <v/>
      </c>
      <c r="N22" s="140">
        <f>IF($B22="","",I22-L22)</f>
        <v/>
      </c>
      <c r="O22" s="137">
        <f>IF($B22="","",T21+SUMIFS('2. Ops Planning'!$C:$C,'2. Ops Planning'!$B:$B,$O$4,'2. Ops Planning'!$W:$W,"&gt;="&amp;$B22,'2. Ops Planning'!$W:$W,"&lt;"&amp;$B22+7))</f>
        <v/>
      </c>
      <c r="P22" s="86" t="n"/>
      <c r="Q22" s="86" t="n">
        <v>40</v>
      </c>
      <c r="R22" s="138">
        <f>IF($B22="","",MIN(IF(P22="",Q22,P22),O22))</f>
        <v/>
      </c>
      <c r="S22" s="139">
        <f>IF($B22="","",IFERROR(LOOKUP(2,1/(T22:T$57&gt;0),ROW(T22:T$57))-ROW(T22)+1,0))</f>
        <v/>
      </c>
      <c r="T22" s="140">
        <f>IF($B22="","",O22-R22)</f>
        <v/>
      </c>
      <c r="U22" s="137">
        <f>IF($B22="","",Z21+SUMIFS('2. Ops Planning'!$C:$C,'2. Ops Planning'!$B:$B,$U$4,'2. Ops Planning'!$W:$W,"&gt;="&amp;$B22,'2. Ops Planning'!$W:$W,"&lt;"&amp;$B22+7))</f>
        <v/>
      </c>
      <c r="V22" s="86" t="n"/>
      <c r="W22" s="86" t="n">
        <v>20</v>
      </c>
      <c r="X22" s="138">
        <f>IF($B22="","",MIN(IF(V22="",W22,V22),U22))</f>
        <v/>
      </c>
      <c r="Y22" s="139">
        <f>IF($B22="","",IFERROR(LOOKUP(2,1/(Z22:Z$57&gt;0),ROW(Z22:Z$57))-ROW(Z22)+1,0))</f>
        <v/>
      </c>
      <c r="Z22" s="140">
        <f>IF($B22="","",U22-X22)</f>
        <v/>
      </c>
    </row>
    <row r="23" ht="19.5" customHeight="1" s="58">
      <c r="A23" s="83" t="n">
        <v>18</v>
      </c>
      <c r="B23" s="84" t="n">
        <v>45782</v>
      </c>
      <c r="C23" s="137">
        <f>IF($B23="","",H22+SUMIFS('2. Ops Planning'!$C:$C,'2. Ops Planning'!$B:$B,$C$4,'2. Ops Planning'!$W:$W,"&gt;="&amp;$B23,'2. Ops Planning'!$W:$W,"&lt;"&amp;$B23+7))</f>
        <v/>
      </c>
      <c r="D23" s="86" t="n"/>
      <c r="E23" s="86" t="n">
        <v>65</v>
      </c>
      <c r="F23" s="138">
        <f>IF($B23="","",MIN(IF(D23="",E23,D23),C23))</f>
        <v/>
      </c>
      <c r="G23" s="139">
        <f>IF($B23="","",IFERROR(LOOKUP(2,1/(H23:H$57&gt;0),ROW(H23:H$57))-ROW(H23)+1,0))</f>
        <v/>
      </c>
      <c r="H23" s="140">
        <f>IF($B23="","",C23-F23)</f>
        <v/>
      </c>
      <c r="I23" s="137">
        <f>IF($B23="","",N22+SUMIFS('2. Ops Planning'!$C:$C,'2. Ops Planning'!$B:$B,$I$4,'2. Ops Planning'!$W:$W,"&gt;="&amp;$B23,'2. Ops Planning'!$W:$W,"&lt;"&amp;$B23+7))</f>
        <v/>
      </c>
      <c r="J23" s="86" t="n"/>
      <c r="K23" s="86" t="n">
        <v>39</v>
      </c>
      <c r="L23" s="138">
        <f>IF($B23="","",MIN(IF(J23="",K23,J23),I23))</f>
        <v/>
      </c>
      <c r="M23" s="139">
        <f>IF($B23="","",IFERROR(LOOKUP(2,1/(N23:N$57&gt;0),ROW(N23:N$57))-ROW(N23)+1,0))</f>
        <v/>
      </c>
      <c r="N23" s="140">
        <f>IF($B23="","",I23-L23)</f>
        <v/>
      </c>
      <c r="O23" s="137">
        <f>IF($B23="","",T22+SUMIFS('2. Ops Planning'!$C:$C,'2. Ops Planning'!$B:$B,$O$4,'2. Ops Planning'!$W:$W,"&gt;="&amp;$B23,'2. Ops Planning'!$W:$W,"&lt;"&amp;$B23+7))</f>
        <v/>
      </c>
      <c r="P23" s="86" t="n"/>
      <c r="Q23" s="86" t="n">
        <v>40</v>
      </c>
      <c r="R23" s="138">
        <f>IF($B23="","",MIN(IF(P23="",Q23,P23),O23))</f>
        <v/>
      </c>
      <c r="S23" s="139">
        <f>IF($B23="","",IFERROR(LOOKUP(2,1/(T23:T$57&gt;0),ROW(T23:T$57))-ROW(T23)+1,0))</f>
        <v/>
      </c>
      <c r="T23" s="140">
        <f>IF($B23="","",O23-R23)</f>
        <v/>
      </c>
      <c r="U23" s="137">
        <f>IF($B23="","",Z22+SUMIFS('2. Ops Planning'!$C:$C,'2. Ops Planning'!$B:$B,$U$4,'2. Ops Planning'!$W:$W,"&gt;="&amp;$B23,'2. Ops Planning'!$W:$W,"&lt;"&amp;$B23+7))</f>
        <v/>
      </c>
      <c r="V23" s="86" t="n"/>
      <c r="W23" s="86" t="n">
        <v>20</v>
      </c>
      <c r="X23" s="138">
        <f>IF($B23="","",MIN(IF(V23="",W23,V23),U23))</f>
        <v/>
      </c>
      <c r="Y23" s="139">
        <f>IF($B23="","",IFERROR(LOOKUP(2,1/(Z23:Z$57&gt;0),ROW(Z23:Z$57))-ROW(Z23)+1,0))</f>
        <v/>
      </c>
      <c r="Z23" s="140">
        <f>IF($B23="","",U23-X23)</f>
        <v/>
      </c>
    </row>
    <row r="24" ht="19.5" customHeight="1" s="58">
      <c r="A24" s="83" t="n">
        <v>19</v>
      </c>
      <c r="B24" s="84" t="n">
        <v>45789</v>
      </c>
      <c r="C24" s="137">
        <f>IF($B24="","",H23+SUMIFS('2. Ops Planning'!$C:$C,'2. Ops Planning'!$B:$B,$C$4,'2. Ops Planning'!$W:$W,"&gt;="&amp;$B24,'2. Ops Planning'!$W:$W,"&lt;"&amp;$B24+7))</f>
        <v/>
      </c>
      <c r="D24" s="86" t="n"/>
      <c r="E24" s="86" t="n">
        <v>65</v>
      </c>
      <c r="F24" s="138">
        <f>IF($B24="","",MIN(IF(D24="",E24,D24),C24))</f>
        <v/>
      </c>
      <c r="G24" s="139">
        <f>IF($B24="","",IFERROR(LOOKUP(2,1/(H24:H$57&gt;0),ROW(H24:H$57))-ROW(H24)+1,0))</f>
        <v/>
      </c>
      <c r="H24" s="140">
        <f>IF($B24="","",C24-F24)</f>
        <v/>
      </c>
      <c r="I24" s="137">
        <f>IF($B24="","",N23+SUMIFS('2. Ops Planning'!$C:$C,'2. Ops Planning'!$B:$B,$I$4,'2. Ops Planning'!$W:$W,"&gt;="&amp;$B24,'2. Ops Planning'!$W:$W,"&lt;"&amp;$B24+7))</f>
        <v/>
      </c>
      <c r="J24" s="86" t="n"/>
      <c r="K24" s="86" t="n">
        <v>39</v>
      </c>
      <c r="L24" s="138">
        <f>IF($B24="","",MIN(IF(J24="",K24,J24),I24))</f>
        <v/>
      </c>
      <c r="M24" s="139">
        <f>IF($B24="","",IFERROR(LOOKUP(2,1/(N24:N$57&gt;0),ROW(N24:N$57))-ROW(N24)+1,0))</f>
        <v/>
      </c>
      <c r="N24" s="140">
        <f>IF($B24="","",I24-L24)</f>
        <v/>
      </c>
      <c r="O24" s="137">
        <f>IF($B24="","",T23+SUMIFS('2. Ops Planning'!$C:$C,'2. Ops Planning'!$B:$B,$O$4,'2. Ops Planning'!$W:$W,"&gt;="&amp;$B24,'2. Ops Planning'!$W:$W,"&lt;"&amp;$B24+7))</f>
        <v/>
      </c>
      <c r="P24" s="86" t="n"/>
      <c r="Q24" s="86" t="n">
        <v>40</v>
      </c>
      <c r="R24" s="138">
        <f>IF($B24="","",MIN(IF(P24="",Q24,P24),O24))</f>
        <v/>
      </c>
      <c r="S24" s="139">
        <f>IF($B24="","",IFERROR(LOOKUP(2,1/(T24:T$57&gt;0),ROW(T24:T$57))-ROW(T24)+1,0))</f>
        <v/>
      </c>
      <c r="T24" s="140">
        <f>IF($B24="","",O24-R24)</f>
        <v/>
      </c>
      <c r="U24" s="137">
        <f>IF($B24="","",Z23+SUMIFS('2. Ops Planning'!$C:$C,'2. Ops Planning'!$B:$B,$U$4,'2. Ops Planning'!$W:$W,"&gt;="&amp;$B24,'2. Ops Planning'!$W:$W,"&lt;"&amp;$B24+7))</f>
        <v/>
      </c>
      <c r="V24" s="86" t="n"/>
      <c r="W24" s="86" t="n">
        <v>20</v>
      </c>
      <c r="X24" s="138">
        <f>IF($B24="","",MIN(IF(V24="",W24,V24),U24))</f>
        <v/>
      </c>
      <c r="Y24" s="139">
        <f>IF($B24="","",IFERROR(LOOKUP(2,1/(Z24:Z$57&gt;0),ROW(Z24:Z$57))-ROW(Z24)+1,0))</f>
        <v/>
      </c>
      <c r="Z24" s="140">
        <f>IF($B24="","",U24-X24)</f>
        <v/>
      </c>
    </row>
    <row r="25" ht="19.5" customHeight="1" s="58">
      <c r="A25" s="83" t="n">
        <v>20</v>
      </c>
      <c r="B25" s="84" t="n">
        <v>45796</v>
      </c>
      <c r="C25" s="137">
        <f>IF($B25="","",H24+SUMIFS('2. Ops Planning'!$C:$C,'2. Ops Planning'!$B:$B,$C$4,'2. Ops Planning'!$W:$W,"&gt;="&amp;$B25,'2. Ops Planning'!$W:$W,"&lt;"&amp;$B25+7))</f>
        <v/>
      </c>
      <c r="D25" s="86" t="n"/>
      <c r="E25" s="86" t="n">
        <v>65</v>
      </c>
      <c r="F25" s="138">
        <f>IF($B25="","",MIN(IF(D25="",E25,D25),C25))</f>
        <v/>
      </c>
      <c r="G25" s="139">
        <f>IF($B25="","",IFERROR(LOOKUP(2,1/(H25:H$57&gt;0),ROW(H25:H$57))-ROW(H25)+1,0))</f>
        <v/>
      </c>
      <c r="H25" s="140">
        <f>IF($B25="","",C25-F25)</f>
        <v/>
      </c>
      <c r="I25" s="137">
        <f>IF($B25="","",N24+SUMIFS('2. Ops Planning'!$C:$C,'2. Ops Planning'!$B:$B,$I$4,'2. Ops Planning'!$W:$W,"&gt;="&amp;$B25,'2. Ops Planning'!$W:$W,"&lt;"&amp;$B25+7))</f>
        <v/>
      </c>
      <c r="J25" s="86" t="n"/>
      <c r="K25" s="86" t="n">
        <v>39</v>
      </c>
      <c r="L25" s="138">
        <f>IF($B25="","",MIN(IF(J25="",K25,J25),I25))</f>
        <v/>
      </c>
      <c r="M25" s="139">
        <f>IF($B25="","",IFERROR(LOOKUP(2,1/(N25:N$57&gt;0),ROW(N25:N$57))-ROW(N25)+1,0))</f>
        <v/>
      </c>
      <c r="N25" s="140">
        <f>IF($B25="","",I25-L25)</f>
        <v/>
      </c>
      <c r="O25" s="137">
        <f>IF($B25="","",T24+SUMIFS('2. Ops Planning'!$C:$C,'2. Ops Planning'!$B:$B,$O$4,'2. Ops Planning'!$W:$W,"&gt;="&amp;$B25,'2. Ops Planning'!$W:$W,"&lt;"&amp;$B25+7))</f>
        <v/>
      </c>
      <c r="P25" s="86" t="n"/>
      <c r="Q25" s="86" t="n">
        <v>40</v>
      </c>
      <c r="R25" s="138">
        <f>IF($B25="","",MIN(IF(P25="",Q25,P25),O25))</f>
        <v/>
      </c>
      <c r="S25" s="139">
        <f>IF($B25="","",IFERROR(LOOKUP(2,1/(T25:T$57&gt;0),ROW(T25:T$57))-ROW(T25)+1,0))</f>
        <v/>
      </c>
      <c r="T25" s="140">
        <f>IF($B25="","",O25-R25)</f>
        <v/>
      </c>
      <c r="U25" s="137">
        <f>IF($B25="","",Z24+SUMIFS('2. Ops Planning'!$C:$C,'2. Ops Planning'!$B:$B,$U$4,'2. Ops Planning'!$W:$W,"&gt;="&amp;$B25,'2. Ops Planning'!$W:$W,"&lt;"&amp;$B25+7))</f>
        <v/>
      </c>
      <c r="V25" s="86" t="n"/>
      <c r="W25" s="86" t="n">
        <v>20</v>
      </c>
      <c r="X25" s="138">
        <f>IF($B25="","",MIN(IF(V25="",W25,V25),U25))</f>
        <v/>
      </c>
      <c r="Y25" s="139">
        <f>IF($B25="","",IFERROR(LOOKUP(2,1/(Z25:Z$57&gt;0),ROW(Z25:Z$57))-ROW(Z25)+1,0))</f>
        <v/>
      </c>
      <c r="Z25" s="140">
        <f>IF($B25="","",U25-X25)</f>
        <v/>
      </c>
    </row>
    <row r="26" ht="19.5" customHeight="1" s="58">
      <c r="A26" s="83" t="n">
        <v>21</v>
      </c>
      <c r="B26" s="84" t="n">
        <v>45803</v>
      </c>
      <c r="C26" s="137">
        <f>IF($B26="","",H25+SUMIFS('2. Ops Planning'!$C:$C,'2. Ops Planning'!$B:$B,$C$4,'2. Ops Planning'!$W:$W,"&gt;="&amp;$B26,'2. Ops Planning'!$W:$W,"&lt;"&amp;$B26+7))</f>
        <v/>
      </c>
      <c r="D26" s="86" t="n"/>
      <c r="E26" s="86" t="n">
        <v>65</v>
      </c>
      <c r="F26" s="138">
        <f>IF($B26="","",MIN(IF(D26="",E26,D26),C26))</f>
        <v/>
      </c>
      <c r="G26" s="139">
        <f>IF($B26="","",IFERROR(LOOKUP(2,1/(H26:H$57&gt;0),ROW(H26:H$57))-ROW(H26)+1,0))</f>
        <v/>
      </c>
      <c r="H26" s="140">
        <f>IF($B26="","",C26-F26)</f>
        <v/>
      </c>
      <c r="I26" s="137">
        <f>IF($B26="","",N25+SUMIFS('2. Ops Planning'!$C:$C,'2. Ops Planning'!$B:$B,$I$4,'2. Ops Planning'!$W:$W,"&gt;="&amp;$B26,'2. Ops Planning'!$W:$W,"&lt;"&amp;$B26+7))</f>
        <v/>
      </c>
      <c r="J26" s="86" t="n"/>
      <c r="K26" s="86" t="n">
        <v>39</v>
      </c>
      <c r="L26" s="138">
        <f>IF($B26="","",MIN(IF(J26="",K26,J26),I26))</f>
        <v/>
      </c>
      <c r="M26" s="139">
        <f>IF($B26="","",IFERROR(LOOKUP(2,1/(N26:N$57&gt;0),ROW(N26:N$57))-ROW(N26)+1,0))</f>
        <v/>
      </c>
      <c r="N26" s="140">
        <f>IF($B26="","",I26-L26)</f>
        <v/>
      </c>
      <c r="O26" s="137">
        <f>IF($B26="","",T25+SUMIFS('2. Ops Planning'!$C:$C,'2. Ops Planning'!$B:$B,$O$4,'2. Ops Planning'!$W:$W,"&gt;="&amp;$B26,'2. Ops Planning'!$W:$W,"&lt;"&amp;$B26+7))</f>
        <v/>
      </c>
      <c r="P26" s="86" t="n"/>
      <c r="Q26" s="86" t="n">
        <v>40</v>
      </c>
      <c r="R26" s="138">
        <f>IF($B26="","",MIN(IF(P26="",Q26,P26),O26))</f>
        <v/>
      </c>
      <c r="S26" s="139">
        <f>IF($B26="","",IFERROR(LOOKUP(2,1/(T26:T$57&gt;0),ROW(T26:T$57))-ROW(T26)+1,0))</f>
        <v/>
      </c>
      <c r="T26" s="140">
        <f>IF($B26="","",O26-R26)</f>
        <v/>
      </c>
      <c r="U26" s="137">
        <f>IF($B26="","",Z25+SUMIFS('2. Ops Planning'!$C:$C,'2. Ops Planning'!$B:$B,$U$4,'2. Ops Planning'!$W:$W,"&gt;="&amp;$B26,'2. Ops Planning'!$W:$W,"&lt;"&amp;$B26+7))</f>
        <v/>
      </c>
      <c r="V26" s="86" t="n"/>
      <c r="W26" s="86" t="n">
        <v>20</v>
      </c>
      <c r="X26" s="138">
        <f>IF($B26="","",MIN(IF(V26="",W26,V26),U26))</f>
        <v/>
      </c>
      <c r="Y26" s="139">
        <f>IF($B26="","",IFERROR(LOOKUP(2,1/(Z26:Z$57&gt;0),ROW(Z26:Z$57))-ROW(Z26)+1,0))</f>
        <v/>
      </c>
      <c r="Z26" s="140">
        <f>IF($B26="","",U26-X26)</f>
        <v/>
      </c>
    </row>
    <row r="27" ht="19.5" customHeight="1" s="58">
      <c r="A27" s="83" t="n">
        <v>22</v>
      </c>
      <c r="B27" s="84" t="n">
        <v>45810</v>
      </c>
      <c r="C27" s="137">
        <f>IF($B27="","",H26+SUMIFS('2. Ops Planning'!$C:$C,'2. Ops Planning'!$B:$B,$C$4,'2. Ops Planning'!$W:$W,"&gt;="&amp;$B27,'2. Ops Planning'!$W:$W,"&lt;"&amp;$B27+7))</f>
        <v/>
      </c>
      <c r="D27" s="86" t="n"/>
      <c r="E27" s="86" t="n">
        <v>65</v>
      </c>
      <c r="F27" s="138">
        <f>IF($B27="","",MIN(IF(D27="",E27,D27),C27))</f>
        <v/>
      </c>
      <c r="G27" s="139">
        <f>IF($B27="","",IFERROR(LOOKUP(2,1/(H27:H$57&gt;0),ROW(H27:H$57))-ROW(H27)+1,0))</f>
        <v/>
      </c>
      <c r="H27" s="140">
        <f>IF($B27="","",C27-F27)</f>
        <v/>
      </c>
      <c r="I27" s="137">
        <f>IF($B27="","",N26+SUMIFS('2. Ops Planning'!$C:$C,'2. Ops Planning'!$B:$B,$I$4,'2. Ops Planning'!$W:$W,"&gt;="&amp;$B27,'2. Ops Planning'!$W:$W,"&lt;"&amp;$B27+7))</f>
        <v/>
      </c>
      <c r="J27" s="86" t="n"/>
      <c r="K27" s="86" t="n">
        <v>39</v>
      </c>
      <c r="L27" s="138">
        <f>IF($B27="","",MIN(IF(J27="",K27,J27),I27))</f>
        <v/>
      </c>
      <c r="M27" s="139">
        <f>IF($B27="","",IFERROR(LOOKUP(2,1/(N27:N$57&gt;0),ROW(N27:N$57))-ROW(N27)+1,0))</f>
        <v/>
      </c>
      <c r="N27" s="140">
        <f>IF($B27="","",I27-L27)</f>
        <v/>
      </c>
      <c r="O27" s="137">
        <f>IF($B27="","",T26+SUMIFS('2. Ops Planning'!$C:$C,'2. Ops Planning'!$B:$B,$O$4,'2. Ops Planning'!$W:$W,"&gt;="&amp;$B27,'2. Ops Planning'!$W:$W,"&lt;"&amp;$B27+7))</f>
        <v/>
      </c>
      <c r="P27" s="86" t="n"/>
      <c r="Q27" s="86" t="n">
        <v>40</v>
      </c>
      <c r="R27" s="138">
        <f>IF($B27="","",MIN(IF(P27="",Q27,P27),O27))</f>
        <v/>
      </c>
      <c r="S27" s="139">
        <f>IF($B27="","",IFERROR(LOOKUP(2,1/(T27:T$57&gt;0),ROW(T27:T$57))-ROW(T27)+1,0))</f>
        <v/>
      </c>
      <c r="T27" s="140">
        <f>IF($B27="","",O27-R27)</f>
        <v/>
      </c>
      <c r="U27" s="137">
        <f>IF($B27="","",Z26+SUMIFS('2. Ops Planning'!$C:$C,'2. Ops Planning'!$B:$B,$U$4,'2. Ops Planning'!$W:$W,"&gt;="&amp;$B27,'2. Ops Planning'!$W:$W,"&lt;"&amp;$B27+7))</f>
        <v/>
      </c>
      <c r="V27" s="86" t="n"/>
      <c r="W27" s="86" t="n">
        <v>20</v>
      </c>
      <c r="X27" s="138">
        <f>IF($B27="","",MIN(IF(V27="",W27,V27),U27))</f>
        <v/>
      </c>
      <c r="Y27" s="139">
        <f>IF($B27="","",IFERROR(LOOKUP(2,1/(Z27:Z$57&gt;0),ROW(Z27:Z$57))-ROW(Z27)+1,0))</f>
        <v/>
      </c>
      <c r="Z27" s="140">
        <f>IF($B27="","",U27-X27)</f>
        <v/>
      </c>
    </row>
    <row r="28" ht="19.5" customHeight="1" s="58">
      <c r="A28" s="83" t="n">
        <v>23</v>
      </c>
      <c r="B28" s="84" t="n">
        <v>45817</v>
      </c>
      <c r="C28" s="137">
        <f>IF($B28="","",H27+SUMIFS('2. Ops Planning'!$C:$C,'2. Ops Planning'!$B:$B,$C$4,'2. Ops Planning'!$W:$W,"&gt;="&amp;$B28,'2. Ops Planning'!$W:$W,"&lt;"&amp;$B28+7))</f>
        <v/>
      </c>
      <c r="D28" s="86" t="n"/>
      <c r="E28" s="86" t="n">
        <v>65</v>
      </c>
      <c r="F28" s="138">
        <f>IF($B28="","",MIN(IF(D28="",E28,D28),C28))</f>
        <v/>
      </c>
      <c r="G28" s="139">
        <f>IF($B28="","",IFERROR(LOOKUP(2,1/(H28:H$57&gt;0),ROW(H28:H$57))-ROW(H28)+1,0))</f>
        <v/>
      </c>
      <c r="H28" s="140">
        <f>IF($B28="","",C28-F28)</f>
        <v/>
      </c>
      <c r="I28" s="137">
        <f>IF($B28="","",N27+SUMIFS('2. Ops Planning'!$C:$C,'2. Ops Planning'!$B:$B,$I$4,'2. Ops Planning'!$W:$W,"&gt;="&amp;$B28,'2. Ops Planning'!$W:$W,"&lt;"&amp;$B28+7))</f>
        <v/>
      </c>
      <c r="J28" s="86" t="n"/>
      <c r="K28" s="86" t="n">
        <v>39</v>
      </c>
      <c r="L28" s="138">
        <f>IF($B28="","",MIN(IF(J28="",K28,J28),I28))</f>
        <v/>
      </c>
      <c r="M28" s="139">
        <f>IF($B28="","",IFERROR(LOOKUP(2,1/(N28:N$57&gt;0),ROW(N28:N$57))-ROW(N28)+1,0))</f>
        <v/>
      </c>
      <c r="N28" s="140">
        <f>IF($B28="","",I28-L28)</f>
        <v/>
      </c>
      <c r="O28" s="137">
        <f>IF($B28="","",T27+SUMIFS('2. Ops Planning'!$C:$C,'2. Ops Planning'!$B:$B,$O$4,'2. Ops Planning'!$W:$W,"&gt;="&amp;$B28,'2. Ops Planning'!$W:$W,"&lt;"&amp;$B28+7))</f>
        <v/>
      </c>
      <c r="P28" s="86" t="n"/>
      <c r="Q28" s="86" t="n">
        <v>40</v>
      </c>
      <c r="R28" s="138">
        <f>IF($B28="","",MIN(IF(P28="",Q28,P28),O28))</f>
        <v/>
      </c>
      <c r="S28" s="139">
        <f>IF($B28="","",IFERROR(LOOKUP(2,1/(T28:T$57&gt;0),ROW(T28:T$57))-ROW(T28)+1,0))</f>
        <v/>
      </c>
      <c r="T28" s="140">
        <f>IF($B28="","",O28-R28)</f>
        <v/>
      </c>
      <c r="U28" s="137">
        <f>IF($B28="","",Z27+SUMIFS('2. Ops Planning'!$C:$C,'2. Ops Planning'!$B:$B,$U$4,'2. Ops Planning'!$W:$W,"&gt;="&amp;$B28,'2. Ops Planning'!$W:$W,"&lt;"&amp;$B28+7))</f>
        <v/>
      </c>
      <c r="V28" s="86" t="n"/>
      <c r="W28" s="86" t="n">
        <v>20</v>
      </c>
      <c r="X28" s="138">
        <f>IF($B28="","",MIN(IF(V28="",W28,V28),U28))</f>
        <v/>
      </c>
      <c r="Y28" s="139">
        <f>IF($B28="","",IFERROR(LOOKUP(2,1/(Z28:Z$57&gt;0),ROW(Z28:Z$57))-ROW(Z28)+1,0))</f>
        <v/>
      </c>
      <c r="Z28" s="140">
        <f>IF($B28="","",U28-X28)</f>
        <v/>
      </c>
    </row>
    <row r="29" ht="19.5" customHeight="1" s="58">
      <c r="A29" s="83" t="n">
        <v>24</v>
      </c>
      <c r="B29" s="84" t="n">
        <v>45824</v>
      </c>
      <c r="C29" s="137">
        <f>IF($B29="","",H28+SUMIFS('2. Ops Planning'!$C:$C,'2. Ops Planning'!$B:$B,$C$4,'2. Ops Planning'!$W:$W,"&gt;="&amp;$B29,'2. Ops Planning'!$W:$W,"&lt;"&amp;$B29+7))</f>
        <v/>
      </c>
      <c r="D29" s="86" t="n"/>
      <c r="E29" s="86" t="n">
        <v>65</v>
      </c>
      <c r="F29" s="138">
        <f>IF($B29="","",MIN(IF(D29="",E29,D29),C29))</f>
        <v/>
      </c>
      <c r="G29" s="139">
        <f>IF($B29="","",IFERROR(LOOKUP(2,1/(H29:H$57&gt;0),ROW(H29:H$57))-ROW(H29)+1,0))</f>
        <v/>
      </c>
      <c r="H29" s="140">
        <f>IF($B29="","",C29-F29)</f>
        <v/>
      </c>
      <c r="I29" s="137">
        <f>IF($B29="","",N28+SUMIFS('2. Ops Planning'!$C:$C,'2. Ops Planning'!$B:$B,$I$4,'2. Ops Planning'!$W:$W,"&gt;="&amp;$B29,'2. Ops Planning'!$W:$W,"&lt;"&amp;$B29+7))</f>
        <v/>
      </c>
      <c r="J29" s="86" t="n"/>
      <c r="K29" s="86" t="n">
        <v>39</v>
      </c>
      <c r="L29" s="138">
        <f>IF($B29="","",MIN(IF(J29="",K29,J29),I29))</f>
        <v/>
      </c>
      <c r="M29" s="139">
        <f>IF($B29="","",IFERROR(LOOKUP(2,1/(N29:N$57&gt;0),ROW(N29:N$57))-ROW(N29)+1,0))</f>
        <v/>
      </c>
      <c r="N29" s="140">
        <f>IF($B29="","",I29-L29)</f>
        <v/>
      </c>
      <c r="O29" s="137">
        <f>IF($B29="","",T28+SUMIFS('2. Ops Planning'!$C:$C,'2. Ops Planning'!$B:$B,$O$4,'2. Ops Planning'!$W:$W,"&gt;="&amp;$B29,'2. Ops Planning'!$W:$W,"&lt;"&amp;$B29+7))</f>
        <v/>
      </c>
      <c r="P29" s="86" t="n"/>
      <c r="Q29" s="86" t="n">
        <v>40</v>
      </c>
      <c r="R29" s="138">
        <f>IF($B29="","",MIN(IF(P29="",Q29,P29),O29))</f>
        <v/>
      </c>
      <c r="S29" s="139">
        <f>IF($B29="","",IFERROR(LOOKUP(2,1/(T29:T$57&gt;0),ROW(T29:T$57))-ROW(T29)+1,0))</f>
        <v/>
      </c>
      <c r="T29" s="140">
        <f>IF($B29="","",O29-R29)</f>
        <v/>
      </c>
      <c r="U29" s="137">
        <f>IF($B29="","",Z28+SUMIFS('2. Ops Planning'!$C:$C,'2. Ops Planning'!$B:$B,$U$4,'2. Ops Planning'!$W:$W,"&gt;="&amp;$B29,'2. Ops Planning'!$W:$W,"&lt;"&amp;$B29+7))</f>
        <v/>
      </c>
      <c r="V29" s="86" t="n"/>
      <c r="W29" s="86" t="n">
        <v>20</v>
      </c>
      <c r="X29" s="138">
        <f>IF($B29="","",MIN(IF(V29="",W29,V29),U29))</f>
        <v/>
      </c>
      <c r="Y29" s="139">
        <f>IF($B29="","",IFERROR(LOOKUP(2,1/(Z29:Z$57&gt;0),ROW(Z29:Z$57))-ROW(Z29)+1,0))</f>
        <v/>
      </c>
      <c r="Z29" s="140">
        <f>IF($B29="","",U29-X29)</f>
        <v/>
      </c>
    </row>
    <row r="30" ht="19.5" customHeight="1" s="58">
      <c r="A30" s="83" t="n">
        <v>25</v>
      </c>
      <c r="B30" s="84" t="n">
        <v>45831</v>
      </c>
      <c r="C30" s="137">
        <f>IF($B30="","",H29+SUMIFS('2. Ops Planning'!$C:$C,'2. Ops Planning'!$B:$B,$C$4,'2. Ops Planning'!$W:$W,"&gt;="&amp;$B30,'2. Ops Planning'!$W:$W,"&lt;"&amp;$B30+7))</f>
        <v/>
      </c>
      <c r="D30" s="86" t="n"/>
      <c r="E30" s="86" t="n">
        <v>65</v>
      </c>
      <c r="F30" s="138">
        <f>IF($B30="","",MIN(IF(D30="",E30,D30),C30))</f>
        <v/>
      </c>
      <c r="G30" s="139">
        <f>IF($B30="","",IFERROR(LOOKUP(2,1/(H30:H$57&gt;0),ROW(H30:H$57))-ROW(H30)+1,0))</f>
        <v/>
      </c>
      <c r="H30" s="140">
        <f>IF($B30="","",C30-F30)</f>
        <v/>
      </c>
      <c r="I30" s="137">
        <f>IF($B30="","",N29+SUMIFS('2. Ops Planning'!$C:$C,'2. Ops Planning'!$B:$B,$I$4,'2. Ops Planning'!$W:$W,"&gt;="&amp;$B30,'2. Ops Planning'!$W:$W,"&lt;"&amp;$B30+7))</f>
        <v/>
      </c>
      <c r="J30" s="86" t="n"/>
      <c r="K30" s="86" t="n">
        <v>39</v>
      </c>
      <c r="L30" s="138">
        <f>IF($B30="","",MIN(IF(J30="",K30,J30),I30))</f>
        <v/>
      </c>
      <c r="M30" s="139">
        <f>IF($B30="","",IFERROR(LOOKUP(2,1/(N30:N$57&gt;0),ROW(N30:N$57))-ROW(N30)+1,0))</f>
        <v/>
      </c>
      <c r="N30" s="140">
        <f>IF($B30="","",I30-L30)</f>
        <v/>
      </c>
      <c r="O30" s="137">
        <f>IF($B30="","",T29+SUMIFS('2. Ops Planning'!$C:$C,'2. Ops Planning'!$B:$B,$O$4,'2. Ops Planning'!$W:$W,"&gt;="&amp;$B30,'2. Ops Planning'!$W:$W,"&lt;"&amp;$B30+7))</f>
        <v/>
      </c>
      <c r="P30" s="86" t="n"/>
      <c r="Q30" s="86" t="n">
        <v>40</v>
      </c>
      <c r="R30" s="138">
        <f>IF($B30="","",MIN(IF(P30="",Q30,P30),O30))</f>
        <v/>
      </c>
      <c r="S30" s="139">
        <f>IF($B30="","",IFERROR(LOOKUP(2,1/(T30:T$57&gt;0),ROW(T30:T$57))-ROW(T30)+1,0))</f>
        <v/>
      </c>
      <c r="T30" s="140">
        <f>IF($B30="","",O30-R30)</f>
        <v/>
      </c>
      <c r="U30" s="137">
        <f>IF($B30="","",Z29+SUMIFS('2. Ops Planning'!$C:$C,'2. Ops Planning'!$B:$B,$U$4,'2. Ops Planning'!$W:$W,"&gt;="&amp;$B30,'2. Ops Planning'!$W:$W,"&lt;"&amp;$B30+7))</f>
        <v/>
      </c>
      <c r="V30" s="86" t="n"/>
      <c r="W30" s="86" t="n">
        <v>20</v>
      </c>
      <c r="X30" s="138">
        <f>IF($B30="","",MIN(IF(V30="",W30,V30),U30))</f>
        <v/>
      </c>
      <c r="Y30" s="139">
        <f>IF($B30="","",IFERROR(LOOKUP(2,1/(Z30:Z$57&gt;0),ROW(Z30:Z$57))-ROW(Z30)+1,0))</f>
        <v/>
      </c>
      <c r="Z30" s="140">
        <f>IF($B30="","",U30-X30)</f>
        <v/>
      </c>
    </row>
    <row r="31" ht="19.5" customHeight="1" s="58">
      <c r="A31" s="83" t="n">
        <v>26</v>
      </c>
      <c r="B31" s="84" t="n">
        <v>45838</v>
      </c>
      <c r="C31" s="137">
        <f>IF($B31="","",H30+SUMIFS('2. Ops Planning'!$C:$C,'2. Ops Planning'!$B:$B,$C$4,'2. Ops Planning'!$W:$W,"&gt;="&amp;$B31,'2. Ops Planning'!$W:$W,"&lt;"&amp;$B31+7))</f>
        <v/>
      </c>
      <c r="D31" s="86" t="n"/>
      <c r="E31" s="86" t="n">
        <v>65</v>
      </c>
      <c r="F31" s="138">
        <f>IF($B31="","",MIN(IF(D31="",E31,D31),C31))</f>
        <v/>
      </c>
      <c r="G31" s="139">
        <f>IF($B31="","",IFERROR(LOOKUP(2,1/(H31:H$57&gt;0),ROW(H31:H$57))-ROW(H31)+1,0))</f>
        <v/>
      </c>
      <c r="H31" s="140">
        <f>IF($B31="","",C31-F31)</f>
        <v/>
      </c>
      <c r="I31" s="137">
        <f>IF($B31="","",N30+SUMIFS('2. Ops Planning'!$C:$C,'2. Ops Planning'!$B:$B,$I$4,'2. Ops Planning'!$W:$W,"&gt;="&amp;$B31,'2. Ops Planning'!$W:$W,"&lt;"&amp;$B31+7))</f>
        <v/>
      </c>
      <c r="J31" s="86" t="n"/>
      <c r="K31" s="86" t="n">
        <v>39</v>
      </c>
      <c r="L31" s="138">
        <f>IF($B31="","",MIN(IF(J31="",K31,J31),I31))</f>
        <v/>
      </c>
      <c r="M31" s="139">
        <f>IF($B31="","",IFERROR(LOOKUP(2,1/(N31:N$57&gt;0),ROW(N31:N$57))-ROW(N31)+1,0))</f>
        <v/>
      </c>
      <c r="N31" s="140">
        <f>IF($B31="","",I31-L31)</f>
        <v/>
      </c>
      <c r="O31" s="137">
        <f>IF($B31="","",T30+SUMIFS('2. Ops Planning'!$C:$C,'2. Ops Planning'!$B:$B,$O$4,'2. Ops Planning'!$W:$W,"&gt;="&amp;$B31,'2. Ops Planning'!$W:$W,"&lt;"&amp;$B31+7))</f>
        <v/>
      </c>
      <c r="P31" s="86" t="n"/>
      <c r="Q31" s="86" t="n">
        <v>40</v>
      </c>
      <c r="R31" s="138">
        <f>IF($B31="","",MIN(IF(P31="",Q31,P31),O31))</f>
        <v/>
      </c>
      <c r="S31" s="139">
        <f>IF($B31="","",IFERROR(LOOKUP(2,1/(T31:T$57&gt;0),ROW(T31:T$57))-ROW(T31)+1,0))</f>
        <v/>
      </c>
      <c r="T31" s="140">
        <f>IF($B31="","",O31-R31)</f>
        <v/>
      </c>
      <c r="U31" s="137">
        <f>IF($B31="","",Z30+SUMIFS('2. Ops Planning'!$C:$C,'2. Ops Planning'!$B:$B,$U$4,'2. Ops Planning'!$W:$W,"&gt;="&amp;$B31,'2. Ops Planning'!$W:$W,"&lt;"&amp;$B31+7))</f>
        <v/>
      </c>
      <c r="V31" s="86" t="n"/>
      <c r="W31" s="86" t="n">
        <v>20</v>
      </c>
      <c r="X31" s="138">
        <f>IF($B31="","",MIN(IF(V31="",W31,V31),U31))</f>
        <v/>
      </c>
      <c r="Y31" s="139">
        <f>IF($B31="","",IFERROR(LOOKUP(2,1/(Z31:Z$57&gt;0),ROW(Z31:Z$57))-ROW(Z31)+1,0))</f>
        <v/>
      </c>
      <c r="Z31" s="140">
        <f>IF($B31="","",U31-X31)</f>
        <v/>
      </c>
    </row>
    <row r="32" ht="19.5" customHeight="1" s="58">
      <c r="A32" s="83" t="n">
        <v>27</v>
      </c>
      <c r="B32" s="84" t="n">
        <v>45845</v>
      </c>
      <c r="C32" s="137">
        <f>IF($B32="","",H31+SUMIFS('2. Ops Planning'!$C:$C,'2. Ops Planning'!$B:$B,$C$4,'2. Ops Planning'!$W:$W,"&gt;="&amp;$B32,'2. Ops Planning'!$W:$W,"&lt;"&amp;$B32+7))</f>
        <v/>
      </c>
      <c r="D32" s="86" t="n"/>
      <c r="E32" s="86" t="n">
        <v>75</v>
      </c>
      <c r="F32" s="138">
        <f>IF($B32="","",MIN(IF(D32="",E32,D32),C32))</f>
        <v/>
      </c>
      <c r="G32" s="139">
        <f>IF($B32="","",IFERROR(LOOKUP(2,1/(H32:H$57&gt;0),ROW(H32:H$57))-ROW(H32)+1,0))</f>
        <v/>
      </c>
      <c r="H32" s="140">
        <f>IF($B32="","",C32-F32)</f>
        <v/>
      </c>
      <c r="I32" s="137">
        <f>IF($B32="","",N31+SUMIFS('2. Ops Planning'!$C:$C,'2. Ops Planning'!$B:$B,$I$4,'2. Ops Planning'!$W:$W,"&gt;="&amp;$B32,'2. Ops Planning'!$W:$W,"&lt;"&amp;$B32+7))</f>
        <v/>
      </c>
      <c r="J32" s="86" t="n"/>
      <c r="K32" s="86" t="n">
        <v>45</v>
      </c>
      <c r="L32" s="138">
        <f>IF($B32="","",MIN(IF(J32="",K32,J32),I32))</f>
        <v/>
      </c>
      <c r="M32" s="139">
        <f>IF($B32="","",IFERROR(LOOKUP(2,1/(N32:N$57&gt;0),ROW(N32:N$57))-ROW(N32)+1,0))</f>
        <v/>
      </c>
      <c r="N32" s="140">
        <f>IF($B32="","",I32-L32)</f>
        <v/>
      </c>
      <c r="O32" s="137">
        <f>IF($B32="","",T31+SUMIFS('2. Ops Planning'!$C:$C,'2. Ops Planning'!$B:$B,$O$4,'2. Ops Planning'!$W:$W,"&gt;="&amp;$B32,'2. Ops Planning'!$W:$W,"&lt;"&amp;$B32+7))</f>
        <v/>
      </c>
      <c r="P32" s="86" t="n"/>
      <c r="Q32" s="86" t="n">
        <v>40</v>
      </c>
      <c r="R32" s="138">
        <f>IF($B32="","",MIN(IF(P32="",Q32,P32),O32))</f>
        <v/>
      </c>
      <c r="S32" s="139">
        <f>IF($B32="","",IFERROR(LOOKUP(2,1/(T32:T$57&gt;0),ROW(T32:T$57))-ROW(T32)+1,0))</f>
        <v/>
      </c>
      <c r="T32" s="140">
        <f>IF($B32="","",O32-R32)</f>
        <v/>
      </c>
      <c r="U32" s="137">
        <f>IF($B32="","",Z31+SUMIFS('2. Ops Planning'!$C:$C,'2. Ops Planning'!$B:$B,$U$4,'2. Ops Planning'!$W:$W,"&gt;="&amp;$B32,'2. Ops Planning'!$W:$W,"&lt;"&amp;$B32+7))</f>
        <v/>
      </c>
      <c r="V32" s="86" t="n"/>
      <c r="W32" s="86" t="n">
        <v>20</v>
      </c>
      <c r="X32" s="138">
        <f>IF($B32="","",MIN(IF(V32="",W32,V32),U32))</f>
        <v/>
      </c>
      <c r="Y32" s="139">
        <f>IF($B32="","",IFERROR(LOOKUP(2,1/(Z32:Z$57&gt;0),ROW(Z32:Z$57))-ROW(Z32)+1,0))</f>
        <v/>
      </c>
      <c r="Z32" s="140">
        <f>IF($B32="","",U32-X32)</f>
        <v/>
      </c>
    </row>
    <row r="33" ht="19.5" customHeight="1" s="58">
      <c r="A33" s="83" t="n">
        <v>28</v>
      </c>
      <c r="B33" s="84" t="n">
        <v>45852</v>
      </c>
      <c r="C33" s="137">
        <f>IF($B33="","",H32+SUMIFS('2. Ops Planning'!$C:$C,'2. Ops Planning'!$B:$B,$C$4,'2. Ops Planning'!$W:$W,"&gt;="&amp;$B33,'2. Ops Planning'!$W:$W,"&lt;"&amp;$B33+7))</f>
        <v/>
      </c>
      <c r="D33" s="86" t="n"/>
      <c r="E33" s="86" t="n">
        <v>75</v>
      </c>
      <c r="F33" s="138">
        <f>IF($B33="","",MIN(IF(D33="",E33,D33),C33))</f>
        <v/>
      </c>
      <c r="G33" s="139">
        <f>IF($B33="","",IFERROR(LOOKUP(2,1/(H33:H$57&gt;0),ROW(H33:H$57))-ROW(H33)+1,0))</f>
        <v/>
      </c>
      <c r="H33" s="140">
        <f>IF($B33="","",C33-F33)</f>
        <v/>
      </c>
      <c r="I33" s="137">
        <f>IF($B33="","",N32+SUMIFS('2. Ops Planning'!$C:$C,'2. Ops Planning'!$B:$B,$I$4,'2. Ops Planning'!$W:$W,"&gt;="&amp;$B33,'2. Ops Planning'!$W:$W,"&lt;"&amp;$B33+7))</f>
        <v/>
      </c>
      <c r="J33" s="86" t="n"/>
      <c r="K33" s="86" t="n">
        <v>45</v>
      </c>
      <c r="L33" s="138">
        <f>IF($B33="","",MIN(IF(J33="",K33,J33),I33))</f>
        <v/>
      </c>
      <c r="M33" s="139">
        <f>IF($B33="","",IFERROR(LOOKUP(2,1/(N33:N$57&gt;0),ROW(N33:N$57))-ROW(N33)+1,0))</f>
        <v/>
      </c>
      <c r="N33" s="140">
        <f>IF($B33="","",I33-L33)</f>
        <v/>
      </c>
      <c r="O33" s="137">
        <f>IF($B33="","",T32+SUMIFS('2. Ops Planning'!$C:$C,'2. Ops Planning'!$B:$B,$O$4,'2. Ops Planning'!$W:$W,"&gt;="&amp;$B33,'2. Ops Planning'!$W:$W,"&lt;"&amp;$B33+7))</f>
        <v/>
      </c>
      <c r="P33" s="86" t="n"/>
      <c r="Q33" s="86" t="n">
        <v>40</v>
      </c>
      <c r="R33" s="138">
        <f>IF($B33="","",MIN(IF(P33="",Q33,P33),O33))</f>
        <v/>
      </c>
      <c r="S33" s="139">
        <f>IF($B33="","",IFERROR(LOOKUP(2,1/(T33:T$57&gt;0),ROW(T33:T$57))-ROW(T33)+1,0))</f>
        <v/>
      </c>
      <c r="T33" s="140">
        <f>IF($B33="","",O33-R33)</f>
        <v/>
      </c>
      <c r="U33" s="137">
        <f>IF($B33="","",Z32+SUMIFS('2. Ops Planning'!$C:$C,'2. Ops Planning'!$B:$B,$U$4,'2. Ops Planning'!$W:$W,"&gt;="&amp;$B33,'2. Ops Planning'!$W:$W,"&lt;"&amp;$B33+7))</f>
        <v/>
      </c>
      <c r="V33" s="86" t="n"/>
      <c r="W33" s="86" t="n">
        <v>20</v>
      </c>
      <c r="X33" s="138">
        <f>IF($B33="","",MIN(IF(V33="",W33,V33),U33))</f>
        <v/>
      </c>
      <c r="Y33" s="139">
        <f>IF($B33="","",IFERROR(LOOKUP(2,1/(Z33:Z$57&gt;0),ROW(Z33:Z$57))-ROW(Z33)+1,0))</f>
        <v/>
      </c>
      <c r="Z33" s="140">
        <f>IF($B33="","",U33-X33)</f>
        <v/>
      </c>
    </row>
    <row r="34" ht="19.5" customHeight="1" s="58">
      <c r="A34" s="83" t="n">
        <v>29</v>
      </c>
      <c r="B34" s="84" t="n">
        <v>45859</v>
      </c>
      <c r="C34" s="137">
        <f>IF($B34="","",H33+SUMIFS('2. Ops Planning'!$C:$C,'2. Ops Planning'!$B:$B,$C$4,'2. Ops Planning'!$W:$W,"&gt;="&amp;$B34,'2. Ops Planning'!$W:$W,"&lt;"&amp;$B34+7))</f>
        <v/>
      </c>
      <c r="D34" s="86" t="n"/>
      <c r="E34" s="86" t="n">
        <v>75</v>
      </c>
      <c r="F34" s="138">
        <f>IF($B34="","",MIN(IF(D34="",E34,D34),C34))</f>
        <v/>
      </c>
      <c r="G34" s="139">
        <f>IF($B34="","",IFERROR(LOOKUP(2,1/(H34:H$57&gt;0),ROW(H34:H$57))-ROW(H34)+1,0))</f>
        <v/>
      </c>
      <c r="H34" s="140">
        <f>IF($B34="","",C34-F34)</f>
        <v/>
      </c>
      <c r="I34" s="137">
        <f>IF($B34="","",N33+SUMIFS('2. Ops Planning'!$C:$C,'2. Ops Planning'!$B:$B,$I$4,'2. Ops Planning'!$W:$W,"&gt;="&amp;$B34,'2. Ops Planning'!$W:$W,"&lt;"&amp;$B34+7))</f>
        <v/>
      </c>
      <c r="J34" s="86" t="n"/>
      <c r="K34" s="86" t="n">
        <v>45</v>
      </c>
      <c r="L34" s="138">
        <f>IF($B34="","",MIN(IF(J34="",K34,J34),I34))</f>
        <v/>
      </c>
      <c r="M34" s="139">
        <f>IF($B34="","",IFERROR(LOOKUP(2,1/(N34:N$57&gt;0),ROW(N34:N$57))-ROW(N34)+1,0))</f>
        <v/>
      </c>
      <c r="N34" s="140">
        <f>IF($B34="","",I34-L34)</f>
        <v/>
      </c>
      <c r="O34" s="137">
        <f>IF($B34="","",T33+SUMIFS('2. Ops Planning'!$C:$C,'2. Ops Planning'!$B:$B,$O$4,'2. Ops Planning'!$W:$W,"&gt;="&amp;$B34,'2. Ops Planning'!$W:$W,"&lt;"&amp;$B34+7))</f>
        <v/>
      </c>
      <c r="P34" s="86" t="n"/>
      <c r="Q34" s="86" t="n">
        <v>40</v>
      </c>
      <c r="R34" s="138">
        <f>IF($B34="","",MIN(IF(P34="",Q34,P34),O34))</f>
        <v/>
      </c>
      <c r="S34" s="139">
        <f>IF($B34="","",IFERROR(LOOKUP(2,1/(T34:T$57&gt;0),ROW(T34:T$57))-ROW(T34)+1,0))</f>
        <v/>
      </c>
      <c r="T34" s="140">
        <f>IF($B34="","",O34-R34)</f>
        <v/>
      </c>
      <c r="U34" s="137">
        <f>IF($B34="","",Z33+SUMIFS('2. Ops Planning'!$C:$C,'2. Ops Planning'!$B:$B,$U$4,'2. Ops Planning'!$W:$W,"&gt;="&amp;$B34,'2. Ops Planning'!$W:$W,"&lt;"&amp;$B34+7))</f>
        <v/>
      </c>
      <c r="V34" s="86" t="n"/>
      <c r="W34" s="86" t="n">
        <v>20</v>
      </c>
      <c r="X34" s="138">
        <f>IF($B34="","",MIN(IF(V34="",W34,V34),U34))</f>
        <v/>
      </c>
      <c r="Y34" s="139">
        <f>IF($B34="","",IFERROR(LOOKUP(2,1/(Z34:Z$57&gt;0),ROW(Z34:Z$57))-ROW(Z34)+1,0))</f>
        <v/>
      </c>
      <c r="Z34" s="140">
        <f>IF($B34="","",U34-X34)</f>
        <v/>
      </c>
    </row>
    <row r="35" ht="19.5" customHeight="1" s="58">
      <c r="A35" s="83" t="n">
        <v>30</v>
      </c>
      <c r="B35" s="84" t="n">
        <v>45866</v>
      </c>
      <c r="C35" s="137">
        <f>IF($B35="","",H34+SUMIFS('2. Ops Planning'!$C:$C,'2. Ops Planning'!$B:$B,$C$4,'2. Ops Planning'!$W:$W,"&gt;="&amp;$B35,'2. Ops Planning'!$W:$W,"&lt;"&amp;$B35+7))</f>
        <v/>
      </c>
      <c r="D35" s="86" t="n"/>
      <c r="E35" s="86" t="n">
        <v>75</v>
      </c>
      <c r="F35" s="138">
        <f>IF($B35="","",MIN(IF(D35="",E35,D35),C35))</f>
        <v/>
      </c>
      <c r="G35" s="139">
        <f>IF($B35="","",IFERROR(LOOKUP(2,1/(H35:H$57&gt;0),ROW(H35:H$57))-ROW(H35)+1,0))</f>
        <v/>
      </c>
      <c r="H35" s="140">
        <f>IF($B35="","",C35-F35)</f>
        <v/>
      </c>
      <c r="I35" s="137">
        <f>IF($B35="","",N34+SUMIFS('2. Ops Planning'!$C:$C,'2. Ops Planning'!$B:$B,$I$4,'2. Ops Planning'!$W:$W,"&gt;="&amp;$B35,'2. Ops Planning'!$W:$W,"&lt;"&amp;$B35+7))</f>
        <v/>
      </c>
      <c r="J35" s="86" t="n"/>
      <c r="K35" s="86" t="n">
        <v>45</v>
      </c>
      <c r="L35" s="138">
        <f>IF($B35="","",MIN(IF(J35="",K35,J35),I35))</f>
        <v/>
      </c>
      <c r="M35" s="139">
        <f>IF($B35="","",IFERROR(LOOKUP(2,1/(N35:N$57&gt;0),ROW(N35:N$57))-ROW(N35)+1,0))</f>
        <v/>
      </c>
      <c r="N35" s="140">
        <f>IF($B35="","",I35-L35)</f>
        <v/>
      </c>
      <c r="O35" s="137">
        <f>IF($B35="","",T34+SUMIFS('2. Ops Planning'!$C:$C,'2. Ops Planning'!$B:$B,$O$4,'2. Ops Planning'!$W:$W,"&gt;="&amp;$B35,'2. Ops Planning'!$W:$W,"&lt;"&amp;$B35+7))</f>
        <v/>
      </c>
      <c r="P35" s="86" t="n"/>
      <c r="Q35" s="86" t="n">
        <v>40</v>
      </c>
      <c r="R35" s="138">
        <f>IF($B35="","",MIN(IF(P35="",Q35,P35),O35))</f>
        <v/>
      </c>
      <c r="S35" s="139">
        <f>IF($B35="","",IFERROR(LOOKUP(2,1/(T35:T$57&gt;0),ROW(T35:T$57))-ROW(T35)+1,0))</f>
        <v/>
      </c>
      <c r="T35" s="140">
        <f>IF($B35="","",O35-R35)</f>
        <v/>
      </c>
      <c r="U35" s="137">
        <f>IF($B35="","",Z34+SUMIFS('2. Ops Planning'!$C:$C,'2. Ops Planning'!$B:$B,$U$4,'2. Ops Planning'!$W:$W,"&gt;="&amp;$B35,'2. Ops Planning'!$W:$W,"&lt;"&amp;$B35+7))</f>
        <v/>
      </c>
      <c r="V35" s="86" t="n"/>
      <c r="W35" s="86" t="n">
        <v>20</v>
      </c>
      <c r="X35" s="138">
        <f>IF($B35="","",MIN(IF(V35="",W35,V35),U35))</f>
        <v/>
      </c>
      <c r="Y35" s="139">
        <f>IF($B35="","",IFERROR(LOOKUP(2,1/(Z35:Z$57&gt;0),ROW(Z35:Z$57))-ROW(Z35)+1,0))</f>
        <v/>
      </c>
      <c r="Z35" s="140">
        <f>IF($B35="","",U35-X35)</f>
        <v/>
      </c>
    </row>
    <row r="36" ht="19.5" customHeight="1" s="58">
      <c r="A36" s="83" t="n">
        <v>31</v>
      </c>
      <c r="B36" s="84" t="n">
        <v>45873</v>
      </c>
      <c r="C36" s="137">
        <f>IF($B36="","",H35+SUMIFS('2. Ops Planning'!$C:$C,'2. Ops Planning'!$B:$B,$C$4,'2. Ops Planning'!$W:$W,"&gt;="&amp;$B36,'2. Ops Planning'!$W:$W,"&lt;"&amp;$B36+7))</f>
        <v/>
      </c>
      <c r="D36" s="86" t="n"/>
      <c r="E36" s="86" t="n">
        <v>75</v>
      </c>
      <c r="F36" s="138">
        <f>IF($B36="","",MIN(IF(D36="",E36,D36),C36))</f>
        <v/>
      </c>
      <c r="G36" s="139">
        <f>IF($B36="","",IFERROR(LOOKUP(2,1/(H36:H$57&gt;0),ROW(H36:H$57))-ROW(H36)+1,0))</f>
        <v/>
      </c>
      <c r="H36" s="140">
        <f>IF($B36="","",C36-F36)</f>
        <v/>
      </c>
      <c r="I36" s="137">
        <f>IF($B36="","",N35+SUMIFS('2. Ops Planning'!$C:$C,'2. Ops Planning'!$B:$B,$I$4,'2. Ops Planning'!$W:$W,"&gt;="&amp;$B36,'2. Ops Planning'!$W:$W,"&lt;"&amp;$B36+7))</f>
        <v/>
      </c>
      <c r="J36" s="86" t="n"/>
      <c r="K36" s="86" t="n">
        <v>45</v>
      </c>
      <c r="L36" s="138">
        <f>IF($B36="","",MIN(IF(J36="",K36,J36),I36))</f>
        <v/>
      </c>
      <c r="M36" s="139">
        <f>IF($B36="","",IFERROR(LOOKUP(2,1/(N36:N$57&gt;0),ROW(N36:N$57))-ROW(N36)+1,0))</f>
        <v/>
      </c>
      <c r="N36" s="140">
        <f>IF($B36="","",I36-L36)</f>
        <v/>
      </c>
      <c r="O36" s="137">
        <f>IF($B36="","",T35+SUMIFS('2. Ops Planning'!$C:$C,'2. Ops Planning'!$B:$B,$O$4,'2. Ops Planning'!$W:$W,"&gt;="&amp;$B36,'2. Ops Planning'!$W:$W,"&lt;"&amp;$B36+7))</f>
        <v/>
      </c>
      <c r="P36" s="86" t="n"/>
      <c r="Q36" s="86" t="n">
        <v>40</v>
      </c>
      <c r="R36" s="138">
        <f>IF($B36="","",MIN(IF(P36="",Q36,P36),O36))</f>
        <v/>
      </c>
      <c r="S36" s="139">
        <f>IF($B36="","",IFERROR(LOOKUP(2,1/(T36:T$57&gt;0),ROW(T36:T$57))-ROW(T36)+1,0))</f>
        <v/>
      </c>
      <c r="T36" s="140">
        <f>IF($B36="","",O36-R36)</f>
        <v/>
      </c>
      <c r="U36" s="137">
        <f>IF($B36="","",Z35+SUMIFS('2. Ops Planning'!$C:$C,'2. Ops Planning'!$B:$B,$U$4,'2. Ops Planning'!$W:$W,"&gt;="&amp;$B36,'2. Ops Planning'!$W:$W,"&lt;"&amp;$B36+7))</f>
        <v/>
      </c>
      <c r="V36" s="86" t="n"/>
      <c r="W36" s="86" t="n">
        <v>20</v>
      </c>
      <c r="X36" s="138">
        <f>IF($B36="","",MIN(IF(V36="",W36,V36),U36))</f>
        <v/>
      </c>
      <c r="Y36" s="139">
        <f>IF($B36="","",IFERROR(LOOKUP(2,1/(Z36:Z$57&gt;0),ROW(Z36:Z$57))-ROW(Z36)+1,0))</f>
        <v/>
      </c>
      <c r="Z36" s="140">
        <f>IF($B36="","",U36-X36)</f>
        <v/>
      </c>
    </row>
    <row r="37" ht="19.5" customHeight="1" s="58">
      <c r="A37" s="83" t="n">
        <v>32</v>
      </c>
      <c r="B37" s="84" t="n">
        <v>45880</v>
      </c>
      <c r="C37" s="137">
        <f>IF($B37="","",H36+SUMIFS('2. Ops Planning'!$C:$C,'2. Ops Planning'!$B:$B,$C$4,'2. Ops Planning'!$W:$W,"&gt;="&amp;$B37,'2. Ops Planning'!$W:$W,"&lt;"&amp;$B37+7))</f>
        <v/>
      </c>
      <c r="D37" s="86" t="n"/>
      <c r="E37" s="86" t="n">
        <v>75</v>
      </c>
      <c r="F37" s="138">
        <f>IF($B37="","",MIN(IF(D37="",E37,D37),C37))</f>
        <v/>
      </c>
      <c r="G37" s="139">
        <f>IF($B37="","",IFERROR(LOOKUP(2,1/(H37:H$57&gt;0),ROW(H37:H$57))-ROW(H37)+1,0))</f>
        <v/>
      </c>
      <c r="H37" s="140">
        <f>IF($B37="","",C37-F37)</f>
        <v/>
      </c>
      <c r="I37" s="137">
        <f>IF($B37="","",N36+SUMIFS('2. Ops Planning'!$C:$C,'2. Ops Planning'!$B:$B,$I$4,'2. Ops Planning'!$W:$W,"&gt;="&amp;$B37,'2. Ops Planning'!$W:$W,"&lt;"&amp;$B37+7))</f>
        <v/>
      </c>
      <c r="J37" s="86" t="n"/>
      <c r="K37" s="86" t="n">
        <v>45</v>
      </c>
      <c r="L37" s="138">
        <f>IF($B37="","",MIN(IF(J37="",K37,J37),I37))</f>
        <v/>
      </c>
      <c r="M37" s="139">
        <f>IF($B37="","",IFERROR(LOOKUP(2,1/(N37:N$57&gt;0),ROW(N37:N$57))-ROW(N37)+1,0))</f>
        <v/>
      </c>
      <c r="N37" s="140">
        <f>IF($B37="","",I37-L37)</f>
        <v/>
      </c>
      <c r="O37" s="137">
        <f>IF($B37="","",T36+SUMIFS('2. Ops Planning'!$C:$C,'2. Ops Planning'!$B:$B,$O$4,'2. Ops Planning'!$W:$W,"&gt;="&amp;$B37,'2. Ops Planning'!$W:$W,"&lt;"&amp;$B37+7))</f>
        <v/>
      </c>
      <c r="P37" s="86" t="n"/>
      <c r="Q37" s="86" t="n">
        <v>40</v>
      </c>
      <c r="R37" s="138">
        <f>IF($B37="","",MIN(IF(P37="",Q37,P37),O37))</f>
        <v/>
      </c>
      <c r="S37" s="139">
        <f>IF($B37="","",IFERROR(LOOKUP(2,1/(T37:T$57&gt;0),ROW(T37:T$57))-ROW(T37)+1,0))</f>
        <v/>
      </c>
      <c r="T37" s="140">
        <f>IF($B37="","",O37-R37)</f>
        <v/>
      </c>
      <c r="U37" s="137">
        <f>IF($B37="","",Z36+SUMIFS('2. Ops Planning'!$C:$C,'2. Ops Planning'!$B:$B,$U$4,'2. Ops Planning'!$W:$W,"&gt;="&amp;$B37,'2. Ops Planning'!$W:$W,"&lt;"&amp;$B37+7))</f>
        <v/>
      </c>
      <c r="V37" s="86" t="n"/>
      <c r="W37" s="86" t="n">
        <v>20</v>
      </c>
      <c r="X37" s="138">
        <f>IF($B37="","",MIN(IF(V37="",W37,V37),U37))</f>
        <v/>
      </c>
      <c r="Y37" s="139">
        <f>IF($B37="","",IFERROR(LOOKUP(2,1/(Z37:Z$57&gt;0),ROW(Z37:Z$57))-ROW(Z37)+1,0))</f>
        <v/>
      </c>
      <c r="Z37" s="140">
        <f>IF($B37="","",U37-X37)</f>
        <v/>
      </c>
    </row>
    <row r="38" ht="19.5" customHeight="1" s="58">
      <c r="A38" s="83" t="n">
        <v>33</v>
      </c>
      <c r="B38" s="84" t="n">
        <v>45887</v>
      </c>
      <c r="C38" s="137">
        <f>IF($B38="","",H37+SUMIFS('2. Ops Planning'!$C:$C,'2. Ops Planning'!$B:$B,$C$4,'2. Ops Planning'!$W:$W,"&gt;="&amp;$B38,'2. Ops Planning'!$W:$W,"&lt;"&amp;$B38+7))</f>
        <v/>
      </c>
      <c r="D38" s="86" t="n"/>
      <c r="E38" s="86" t="n">
        <v>75</v>
      </c>
      <c r="F38" s="138">
        <f>IF($B38="","",MIN(IF(D38="",E38,D38),C38))</f>
        <v/>
      </c>
      <c r="G38" s="139">
        <f>IF($B38="","",IFERROR(LOOKUP(2,1/(H38:H$57&gt;0),ROW(H38:H$57))-ROW(H38)+1,0))</f>
        <v/>
      </c>
      <c r="H38" s="140">
        <f>IF($B38="","",C38-F38)</f>
        <v/>
      </c>
      <c r="I38" s="137">
        <f>IF($B38="","",N37+SUMIFS('2. Ops Planning'!$C:$C,'2. Ops Planning'!$B:$B,$I$4,'2. Ops Planning'!$W:$W,"&gt;="&amp;$B38,'2. Ops Planning'!$W:$W,"&lt;"&amp;$B38+7))</f>
        <v/>
      </c>
      <c r="J38" s="86" t="n"/>
      <c r="K38" s="86" t="n">
        <v>45</v>
      </c>
      <c r="L38" s="138">
        <f>IF($B38="","",MIN(IF(J38="",K38,J38),I38))</f>
        <v/>
      </c>
      <c r="M38" s="139">
        <f>IF($B38="","",IFERROR(LOOKUP(2,1/(N38:N$57&gt;0),ROW(N38:N$57))-ROW(N38)+1,0))</f>
        <v/>
      </c>
      <c r="N38" s="140">
        <f>IF($B38="","",I38-L38)</f>
        <v/>
      </c>
      <c r="O38" s="137">
        <f>IF($B38="","",T37+SUMIFS('2. Ops Planning'!$C:$C,'2. Ops Planning'!$B:$B,$O$4,'2. Ops Planning'!$W:$W,"&gt;="&amp;$B38,'2. Ops Planning'!$W:$W,"&lt;"&amp;$B38+7))</f>
        <v/>
      </c>
      <c r="P38" s="86" t="n"/>
      <c r="Q38" s="86" t="n">
        <v>40</v>
      </c>
      <c r="R38" s="138">
        <f>IF($B38="","",MIN(IF(P38="",Q38,P38),O38))</f>
        <v/>
      </c>
      <c r="S38" s="139">
        <f>IF($B38="","",IFERROR(LOOKUP(2,1/(T38:T$57&gt;0),ROW(T38:T$57))-ROW(T38)+1,0))</f>
        <v/>
      </c>
      <c r="T38" s="140">
        <f>IF($B38="","",O38-R38)</f>
        <v/>
      </c>
      <c r="U38" s="137">
        <f>IF($B38="","",Z37+SUMIFS('2. Ops Planning'!$C:$C,'2. Ops Planning'!$B:$B,$U$4,'2. Ops Planning'!$W:$W,"&gt;="&amp;$B38,'2. Ops Planning'!$W:$W,"&lt;"&amp;$B38+7))</f>
        <v/>
      </c>
      <c r="V38" s="86" t="n"/>
      <c r="W38" s="86" t="n">
        <v>20</v>
      </c>
      <c r="X38" s="138">
        <f>IF($B38="","",MIN(IF(V38="",W38,V38),U38))</f>
        <v/>
      </c>
      <c r="Y38" s="139">
        <f>IF($B38="","",IFERROR(LOOKUP(2,1/(Z38:Z$57&gt;0),ROW(Z38:Z$57))-ROW(Z38)+1,0))</f>
        <v/>
      </c>
      <c r="Z38" s="140">
        <f>IF($B38="","",U38-X38)</f>
        <v/>
      </c>
    </row>
    <row r="39" ht="19.5" customHeight="1" s="58">
      <c r="A39" s="83" t="n">
        <v>34</v>
      </c>
      <c r="B39" s="84" t="n">
        <v>45894</v>
      </c>
      <c r="C39" s="137">
        <f>IF($B39="","",H38+SUMIFS('2. Ops Planning'!$C:$C,'2. Ops Planning'!$B:$B,$C$4,'2. Ops Planning'!$W:$W,"&gt;="&amp;$B39,'2. Ops Planning'!$W:$W,"&lt;"&amp;$B39+7))</f>
        <v/>
      </c>
      <c r="D39" s="86" t="n"/>
      <c r="E39" s="86" t="n">
        <v>75</v>
      </c>
      <c r="F39" s="138">
        <f>IF($B39="","",MIN(IF(D39="",E39,D39),C39))</f>
        <v/>
      </c>
      <c r="G39" s="139">
        <f>IF($B39="","",IFERROR(LOOKUP(2,1/(H39:H$57&gt;0),ROW(H39:H$57))-ROW(H39)+1,0))</f>
        <v/>
      </c>
      <c r="H39" s="140">
        <f>IF($B39="","",C39-F39)</f>
        <v/>
      </c>
      <c r="I39" s="137">
        <f>IF($B39="","",N38+SUMIFS('2. Ops Planning'!$C:$C,'2. Ops Planning'!$B:$B,$I$4,'2. Ops Planning'!$W:$W,"&gt;="&amp;$B39,'2. Ops Planning'!$W:$W,"&lt;"&amp;$B39+7))</f>
        <v/>
      </c>
      <c r="J39" s="86" t="n"/>
      <c r="K39" s="86" t="n">
        <v>45</v>
      </c>
      <c r="L39" s="138">
        <f>IF($B39="","",MIN(IF(J39="",K39,J39),I39))</f>
        <v/>
      </c>
      <c r="M39" s="139">
        <f>IF($B39="","",IFERROR(LOOKUP(2,1/(N39:N$57&gt;0),ROW(N39:N$57))-ROW(N39)+1,0))</f>
        <v/>
      </c>
      <c r="N39" s="140">
        <f>IF($B39="","",I39-L39)</f>
        <v/>
      </c>
      <c r="O39" s="137">
        <f>IF($B39="","",T38+SUMIFS('2. Ops Planning'!$C:$C,'2. Ops Planning'!$B:$B,$O$4,'2. Ops Planning'!$W:$W,"&gt;="&amp;$B39,'2. Ops Planning'!$W:$W,"&lt;"&amp;$B39+7))</f>
        <v/>
      </c>
      <c r="P39" s="86" t="n"/>
      <c r="Q39" s="86" t="n">
        <v>40</v>
      </c>
      <c r="R39" s="138">
        <f>IF($B39="","",MIN(IF(P39="",Q39,P39),O39))</f>
        <v/>
      </c>
      <c r="S39" s="139">
        <f>IF($B39="","",IFERROR(LOOKUP(2,1/(T39:T$57&gt;0),ROW(T39:T$57))-ROW(T39)+1,0))</f>
        <v/>
      </c>
      <c r="T39" s="140">
        <f>IF($B39="","",O39-R39)</f>
        <v/>
      </c>
      <c r="U39" s="137">
        <f>IF($B39="","",Z38+SUMIFS('2. Ops Planning'!$C:$C,'2. Ops Planning'!$B:$B,$U$4,'2. Ops Planning'!$W:$W,"&gt;="&amp;$B39,'2. Ops Planning'!$W:$W,"&lt;"&amp;$B39+7))</f>
        <v/>
      </c>
      <c r="V39" s="86" t="n"/>
      <c r="W39" s="86" t="n">
        <v>20</v>
      </c>
      <c r="X39" s="138">
        <f>IF($B39="","",MIN(IF(V39="",W39,V39),U39))</f>
        <v/>
      </c>
      <c r="Y39" s="139">
        <f>IF($B39="","",IFERROR(LOOKUP(2,1/(Z39:Z$57&gt;0),ROW(Z39:Z$57))-ROW(Z39)+1,0))</f>
        <v/>
      </c>
      <c r="Z39" s="140">
        <f>IF($B39="","",U39-X39)</f>
        <v/>
      </c>
    </row>
    <row r="40" ht="19.5" customHeight="1" s="58">
      <c r="A40" s="83" t="n">
        <v>35</v>
      </c>
      <c r="B40" s="84" t="n">
        <v>45901</v>
      </c>
      <c r="C40" s="137">
        <f>IF($B40="","",H39+SUMIFS('2. Ops Planning'!$C:$C,'2. Ops Planning'!$B:$B,$C$4,'2. Ops Planning'!$W:$W,"&gt;="&amp;$B40,'2. Ops Planning'!$W:$W,"&lt;"&amp;$B40+7))</f>
        <v/>
      </c>
      <c r="D40" s="86" t="n"/>
      <c r="E40" s="86" t="n">
        <v>75</v>
      </c>
      <c r="F40" s="138">
        <f>IF($B40="","",MIN(IF(D40="",E40,D40),C40))</f>
        <v/>
      </c>
      <c r="G40" s="139">
        <f>IF($B40="","",IFERROR(LOOKUP(2,1/(H40:H$57&gt;0),ROW(H40:H$57))-ROW(H40)+1,0))</f>
        <v/>
      </c>
      <c r="H40" s="140">
        <f>IF($B40="","",C40-F40)</f>
        <v/>
      </c>
      <c r="I40" s="137">
        <f>IF($B40="","",N39+SUMIFS('2. Ops Planning'!$C:$C,'2. Ops Planning'!$B:$B,$I$4,'2. Ops Planning'!$W:$W,"&gt;="&amp;$B40,'2. Ops Planning'!$W:$W,"&lt;"&amp;$B40+7))</f>
        <v/>
      </c>
      <c r="J40" s="86" t="n"/>
      <c r="K40" s="86" t="n">
        <v>45</v>
      </c>
      <c r="L40" s="138">
        <f>IF($B40="","",MIN(IF(J40="",K40,J40),I40))</f>
        <v/>
      </c>
      <c r="M40" s="139">
        <f>IF($B40="","",IFERROR(LOOKUP(2,1/(N40:N$57&gt;0),ROW(N40:N$57))-ROW(N40)+1,0))</f>
        <v/>
      </c>
      <c r="N40" s="140">
        <f>IF($B40="","",I40-L40)</f>
        <v/>
      </c>
      <c r="O40" s="137">
        <f>IF($B40="","",T39+SUMIFS('2. Ops Planning'!$C:$C,'2. Ops Planning'!$B:$B,$O$4,'2. Ops Planning'!$W:$W,"&gt;="&amp;$B40,'2. Ops Planning'!$W:$W,"&lt;"&amp;$B40+7))</f>
        <v/>
      </c>
      <c r="P40" s="86" t="n"/>
      <c r="Q40" s="86" t="n">
        <v>40</v>
      </c>
      <c r="R40" s="138">
        <f>IF($B40="","",MIN(IF(P40="",Q40,P40),O40))</f>
        <v/>
      </c>
      <c r="S40" s="139">
        <f>IF($B40="","",IFERROR(LOOKUP(2,1/(T40:T$57&gt;0),ROW(T40:T$57))-ROW(T40)+1,0))</f>
        <v/>
      </c>
      <c r="T40" s="140">
        <f>IF($B40="","",O40-R40)</f>
        <v/>
      </c>
      <c r="U40" s="137">
        <f>IF($B40="","",Z39+SUMIFS('2. Ops Planning'!$C:$C,'2. Ops Planning'!$B:$B,$U$4,'2. Ops Planning'!$W:$W,"&gt;="&amp;$B40,'2. Ops Planning'!$W:$W,"&lt;"&amp;$B40+7))</f>
        <v/>
      </c>
      <c r="V40" s="86" t="n"/>
      <c r="W40" s="86" t="n">
        <v>20</v>
      </c>
      <c r="X40" s="138">
        <f>IF($B40="","",MIN(IF(V40="",W40,V40),U40))</f>
        <v/>
      </c>
      <c r="Y40" s="139">
        <f>IF($B40="","",IFERROR(LOOKUP(2,1/(Z40:Z$57&gt;0),ROW(Z40:Z$57))-ROW(Z40)+1,0))</f>
        <v/>
      </c>
      <c r="Z40" s="140">
        <f>IF($B40="","",U40-X40)</f>
        <v/>
      </c>
    </row>
    <row r="41" ht="19.5" customHeight="1" s="58">
      <c r="A41" s="83" t="n">
        <v>36</v>
      </c>
      <c r="B41" s="84" t="n">
        <v>45908</v>
      </c>
      <c r="C41" s="137">
        <f>IF($B41="","",H40+SUMIFS('2. Ops Planning'!$C:$C,'2. Ops Planning'!$B:$B,$C$4,'2. Ops Planning'!$W:$W,"&gt;="&amp;$B41,'2. Ops Planning'!$W:$W,"&lt;"&amp;$B41+7))</f>
        <v/>
      </c>
      <c r="D41" s="86" t="n"/>
      <c r="E41" s="86" t="n">
        <v>75</v>
      </c>
      <c r="F41" s="138">
        <f>IF($B41="","",MIN(IF(D41="",E41,D41),C41))</f>
        <v/>
      </c>
      <c r="G41" s="139">
        <f>IF($B41="","",IFERROR(LOOKUP(2,1/(H41:H$57&gt;0),ROW(H41:H$57))-ROW(H41)+1,0))</f>
        <v/>
      </c>
      <c r="H41" s="140">
        <f>IF($B41="","",C41-F41)</f>
        <v/>
      </c>
      <c r="I41" s="137">
        <f>IF($B41="","",N40+SUMIFS('2. Ops Planning'!$C:$C,'2. Ops Planning'!$B:$B,$I$4,'2. Ops Planning'!$W:$W,"&gt;="&amp;$B41,'2. Ops Planning'!$W:$W,"&lt;"&amp;$B41+7))</f>
        <v/>
      </c>
      <c r="J41" s="86" t="n"/>
      <c r="K41" s="86" t="n">
        <v>45</v>
      </c>
      <c r="L41" s="138">
        <f>IF($B41="","",MIN(IF(J41="",K41,J41),I41))</f>
        <v/>
      </c>
      <c r="M41" s="139">
        <f>IF($B41="","",IFERROR(LOOKUP(2,1/(N41:N$57&gt;0),ROW(N41:N$57))-ROW(N41)+1,0))</f>
        <v/>
      </c>
      <c r="N41" s="140">
        <f>IF($B41="","",I41-L41)</f>
        <v/>
      </c>
      <c r="O41" s="137">
        <f>IF($B41="","",T40+SUMIFS('2. Ops Planning'!$C:$C,'2. Ops Planning'!$B:$B,$O$4,'2. Ops Planning'!$W:$W,"&gt;="&amp;$B41,'2. Ops Planning'!$W:$W,"&lt;"&amp;$B41+7))</f>
        <v/>
      </c>
      <c r="P41" s="86" t="n"/>
      <c r="Q41" s="86" t="n">
        <v>40</v>
      </c>
      <c r="R41" s="138">
        <f>IF($B41="","",MIN(IF(P41="",Q41,P41),O41))</f>
        <v/>
      </c>
      <c r="S41" s="139">
        <f>IF($B41="","",IFERROR(LOOKUP(2,1/(T41:T$57&gt;0),ROW(T41:T$57))-ROW(T41)+1,0))</f>
        <v/>
      </c>
      <c r="T41" s="140">
        <f>IF($B41="","",O41-R41)</f>
        <v/>
      </c>
      <c r="U41" s="137">
        <f>IF($B41="","",Z40+SUMIFS('2. Ops Planning'!$C:$C,'2. Ops Planning'!$B:$B,$U$4,'2. Ops Planning'!$W:$W,"&gt;="&amp;$B41,'2. Ops Planning'!$W:$W,"&lt;"&amp;$B41+7))</f>
        <v/>
      </c>
      <c r="V41" s="86" t="n"/>
      <c r="W41" s="86" t="n">
        <v>20</v>
      </c>
      <c r="X41" s="138">
        <f>IF($B41="","",MIN(IF(V41="",W41,V41),U41))</f>
        <v/>
      </c>
      <c r="Y41" s="139">
        <f>IF($B41="","",IFERROR(LOOKUP(2,1/(Z41:Z$57&gt;0),ROW(Z41:Z$57))-ROW(Z41)+1,0))</f>
        <v/>
      </c>
      <c r="Z41" s="140">
        <f>IF($B41="","",U41-X41)</f>
        <v/>
      </c>
    </row>
    <row r="42" ht="19.5" customHeight="1" s="58">
      <c r="A42" s="89" t="n">
        <v>37</v>
      </c>
      <c r="B42" s="90" t="n">
        <v>45915</v>
      </c>
      <c r="C42" s="141">
        <f>IF($B42="","",H41+SUMIFS('2. Ops Planning'!$C:$C,'2. Ops Planning'!$B:$B,$C$4,'2. Ops Planning'!$W:$W,"&gt;="&amp;$B42,'2. Ops Planning'!$W:$W,"&lt;"&amp;$B42+7))</f>
        <v/>
      </c>
      <c r="D42" s="92" t="n"/>
      <c r="E42" s="92" t="n">
        <v>75</v>
      </c>
      <c r="F42" s="142">
        <f>IF($B42="","",MIN(IF(D42="",E42,D42),C42))</f>
        <v/>
      </c>
      <c r="G42" s="143">
        <f>IF($B42="","",IFERROR(LOOKUP(2,1/(H42:H$57&gt;0),ROW(H42:H$57))-ROW(H42)+1,0))</f>
        <v/>
      </c>
      <c r="H42" s="144">
        <f>IF($B42="","",C42-F42)</f>
        <v/>
      </c>
      <c r="I42" s="141">
        <f>IF($B42="","",N41+SUMIFS('2. Ops Planning'!$C:$C,'2. Ops Planning'!$B:$B,$I$4,'2. Ops Planning'!$W:$W,"&gt;="&amp;$B42,'2. Ops Planning'!$W:$W,"&lt;"&amp;$B42+7))</f>
        <v/>
      </c>
      <c r="J42" s="92" t="n"/>
      <c r="K42" s="92" t="n">
        <v>45</v>
      </c>
      <c r="L42" s="142">
        <f>IF($B42="","",MIN(IF(J42="",K42,J42),I42))</f>
        <v/>
      </c>
      <c r="M42" s="143">
        <f>IF($B42="","",IFERROR(LOOKUP(2,1/(N42:N$57&gt;0),ROW(N42:N$57))-ROW(N42)+1,0))</f>
        <v/>
      </c>
      <c r="N42" s="144">
        <f>IF($B42="","",I42-L42)</f>
        <v/>
      </c>
      <c r="O42" s="141">
        <f>IF($B42="","",T41+SUMIFS('2. Ops Planning'!$C:$C,'2. Ops Planning'!$B:$B,$O$4,'2. Ops Planning'!$W:$W,"&gt;="&amp;$B42,'2. Ops Planning'!$W:$W,"&lt;"&amp;$B42+7))</f>
        <v/>
      </c>
      <c r="P42" s="92" t="n"/>
      <c r="Q42" s="92" t="n">
        <v>40</v>
      </c>
      <c r="R42" s="142">
        <f>IF($B42="","",MIN(IF(P42="",Q42,P42),O42))</f>
        <v/>
      </c>
      <c r="S42" s="143">
        <f>IF($B42="","",IFERROR(LOOKUP(2,1/(T42:T$57&gt;0),ROW(T42:T$57))-ROW(T42)+1,0))</f>
        <v/>
      </c>
      <c r="T42" s="144">
        <f>IF($B42="","",O42-R42)</f>
        <v/>
      </c>
      <c r="U42" s="141">
        <f>IF($B42="","",Z41+SUMIFS('2. Ops Planning'!$C:$C,'2. Ops Planning'!$B:$B,$U$4,'2. Ops Planning'!$W:$W,"&gt;="&amp;$B42,'2. Ops Planning'!$W:$W,"&lt;"&amp;$B42+7))</f>
        <v/>
      </c>
      <c r="V42" s="92" t="n"/>
      <c r="W42" s="92" t="n">
        <v>20</v>
      </c>
      <c r="X42" s="142">
        <f>IF($B42="","",MIN(IF(V42="",W42,V42),U42))</f>
        <v/>
      </c>
      <c r="Y42" s="143">
        <f>IF($B42="","",IFERROR(LOOKUP(2,1/(Z42:Z$57&gt;0),ROW(Z42:Z$57))-ROW(Z42)+1,0))</f>
        <v/>
      </c>
      <c r="Z42" s="140">
        <f>IF($B42="","",U42-X42)</f>
        <v/>
      </c>
    </row>
    <row r="43" ht="19.5" customHeight="1" s="58">
      <c r="A43" s="83" t="n">
        <v>38</v>
      </c>
      <c r="B43" s="84" t="n">
        <v>45922</v>
      </c>
      <c r="C43" s="137">
        <f>IF($B43="","",H42+SUMIFS('2. Ops Planning'!$C:$C,'2. Ops Planning'!$B:$B,$C$4,'2. Ops Planning'!$W:$W,"&gt;="&amp;$B43,'2. Ops Planning'!$W:$W,"&lt;"&amp;$B43+7))</f>
        <v/>
      </c>
      <c r="D43" s="86" t="n"/>
      <c r="E43" s="86" t="n">
        <v>75</v>
      </c>
      <c r="F43" s="138">
        <f>IF($B43="","",MIN(IF(D43="",E43,D43),C43))</f>
        <v/>
      </c>
      <c r="G43" s="139">
        <f>IF($B43="","",IFERROR(LOOKUP(2,1/(H43:H$57&gt;0),ROW(H43:H$57))-ROW(H43)+1,0))</f>
        <v/>
      </c>
      <c r="H43" s="140">
        <f>IF($B43="","",C43-F43)</f>
        <v/>
      </c>
      <c r="I43" s="137">
        <f>IF($B43="","",N42+SUMIFS('2. Ops Planning'!$C:$C,'2. Ops Planning'!$B:$B,$I$4,'2. Ops Planning'!$W:$W,"&gt;="&amp;$B43,'2. Ops Planning'!$W:$W,"&lt;"&amp;$B43+7))</f>
        <v/>
      </c>
      <c r="J43" s="86" t="n"/>
      <c r="K43" s="86" t="n">
        <v>45</v>
      </c>
      <c r="L43" s="138">
        <f>IF($B43="","",MIN(IF(J43="",K43,J43),I43))</f>
        <v/>
      </c>
      <c r="M43" s="139">
        <f>IF($B43="","",IFERROR(LOOKUP(2,1/(N43:N$57&gt;0),ROW(N43:N$57))-ROW(N43)+1,0))</f>
        <v/>
      </c>
      <c r="N43" s="140">
        <f>IF($B43="","",I43-L43)</f>
        <v/>
      </c>
      <c r="O43" s="137">
        <f>IF($B43="","",T42+SUMIFS('2. Ops Planning'!$C:$C,'2. Ops Planning'!$B:$B,$O$4,'2. Ops Planning'!$W:$W,"&gt;="&amp;$B43,'2. Ops Planning'!$W:$W,"&lt;"&amp;$B43+7))</f>
        <v/>
      </c>
      <c r="P43" s="86" t="n"/>
      <c r="Q43" s="86" t="n">
        <v>40</v>
      </c>
      <c r="R43" s="138">
        <f>IF($B43="","",MIN(IF(P43="",Q43,P43),O43))</f>
        <v/>
      </c>
      <c r="S43" s="139">
        <f>IF($B43="","",IFERROR(LOOKUP(2,1/(T43:T$57&gt;0),ROW(T43:T$57))-ROW(T43)+1,0))</f>
        <v/>
      </c>
      <c r="T43" s="140">
        <f>IF($B43="","",O43-R43)</f>
        <v/>
      </c>
      <c r="U43" s="137">
        <f>IF($B43="","",Z42+SUMIFS('2. Ops Planning'!$C:$C,'2. Ops Planning'!$B:$B,$U$4,'2. Ops Planning'!$W:$W,"&gt;="&amp;$B43,'2. Ops Planning'!$W:$W,"&lt;"&amp;$B43+7))</f>
        <v/>
      </c>
      <c r="V43" s="86" t="n"/>
      <c r="W43" s="86" t="n">
        <v>20</v>
      </c>
      <c r="X43" s="138">
        <f>IF($B43="","",MIN(IF(V43="",W43,V43),U43))</f>
        <v/>
      </c>
      <c r="Y43" s="139">
        <f>IF($B43="","",IFERROR(LOOKUP(2,1/(Z43:Z$57&gt;0),ROW(Z43:Z$57))-ROW(Z43)+1,0))</f>
        <v/>
      </c>
      <c r="Z43" s="140">
        <f>IF($B43="","",U43-X43)</f>
        <v/>
      </c>
    </row>
    <row r="44" ht="19.5" customHeight="1" s="58">
      <c r="A44" s="83" t="n">
        <v>39</v>
      </c>
      <c r="B44" s="84" t="n">
        <v>45929</v>
      </c>
      <c r="C44" s="137">
        <f>IF($B44="","",H43+SUMIFS('2. Ops Planning'!$C:$C,'2. Ops Planning'!$B:$B,$C$4,'2. Ops Planning'!$W:$W,"&gt;="&amp;$B44,'2. Ops Planning'!$W:$W,"&lt;"&amp;$B44+7))</f>
        <v/>
      </c>
      <c r="D44" s="86" t="n"/>
      <c r="E44" s="86" t="n">
        <v>75</v>
      </c>
      <c r="F44" s="138">
        <f>IF($B44="","",MIN(IF(D44="",E44,D44),C44))</f>
        <v/>
      </c>
      <c r="G44" s="139">
        <f>IF($B44="","",IFERROR(LOOKUP(2,1/(H44:H$57&gt;0),ROW(H44:H$57))-ROW(H44)+1,0))</f>
        <v/>
      </c>
      <c r="H44" s="140">
        <f>IF($B44="","",C44-F44)</f>
        <v/>
      </c>
      <c r="I44" s="137">
        <f>IF($B44="","",N43+SUMIFS('2. Ops Planning'!$C:$C,'2. Ops Planning'!$B:$B,$I$4,'2. Ops Planning'!$W:$W,"&gt;="&amp;$B44,'2. Ops Planning'!$W:$W,"&lt;"&amp;$B44+7))</f>
        <v/>
      </c>
      <c r="J44" s="86" t="n"/>
      <c r="K44" s="86" t="n">
        <v>45</v>
      </c>
      <c r="L44" s="138">
        <f>IF($B44="","",MIN(IF(J44="",K44,J44),I44))</f>
        <v/>
      </c>
      <c r="M44" s="139">
        <f>IF($B44="","",IFERROR(LOOKUP(2,1/(N44:N$57&gt;0),ROW(N44:N$57))-ROW(N44)+1,0))</f>
        <v/>
      </c>
      <c r="N44" s="140">
        <f>IF($B44="","",I44-L44)</f>
        <v/>
      </c>
      <c r="O44" s="137">
        <f>IF($B44="","",T43+SUMIFS('2. Ops Planning'!$C:$C,'2. Ops Planning'!$B:$B,$O$4,'2. Ops Planning'!$W:$W,"&gt;="&amp;$B44,'2. Ops Planning'!$W:$W,"&lt;"&amp;$B44+7))</f>
        <v/>
      </c>
      <c r="P44" s="86" t="n"/>
      <c r="Q44" s="86" t="n">
        <v>40</v>
      </c>
      <c r="R44" s="138">
        <f>IF($B44="","",MIN(IF(P44="",Q44,P44),O44))</f>
        <v/>
      </c>
      <c r="S44" s="139">
        <f>IF($B44="","",IFERROR(LOOKUP(2,1/(T44:T$57&gt;0),ROW(T44:T$57))-ROW(T44)+1,0))</f>
        <v/>
      </c>
      <c r="T44" s="140">
        <f>IF($B44="","",O44-R44)</f>
        <v/>
      </c>
      <c r="U44" s="137">
        <f>IF($B44="","",Z43+SUMIFS('2. Ops Planning'!$C:$C,'2. Ops Planning'!$B:$B,$U$4,'2. Ops Planning'!$W:$W,"&gt;="&amp;$B44,'2. Ops Planning'!$W:$W,"&lt;"&amp;$B44+7))</f>
        <v/>
      </c>
      <c r="V44" s="86" t="n"/>
      <c r="W44" s="86" t="n">
        <v>20</v>
      </c>
      <c r="X44" s="138">
        <f>IF($B44="","",MIN(IF(V44="",W44,V44),U44))</f>
        <v/>
      </c>
      <c r="Y44" s="139">
        <f>IF($B44="","",IFERROR(LOOKUP(2,1/(Z44:Z$57&gt;0),ROW(Z44:Z$57))-ROW(Z44)+1,0))</f>
        <v/>
      </c>
      <c r="Z44" s="140">
        <f>IF($B44="","",U44-X44)</f>
        <v/>
      </c>
    </row>
    <row r="45" ht="19.5" customHeight="1" s="58">
      <c r="A45" s="83" t="n">
        <v>40</v>
      </c>
      <c r="B45" s="84" t="n">
        <v>45936</v>
      </c>
      <c r="C45" s="137">
        <f>IF($B45="","",H44+SUMIFS('2. Ops Planning'!$C:$C,'2. Ops Planning'!$B:$B,$C$4,'2. Ops Planning'!$W:$W,"&gt;="&amp;$B45,'2. Ops Planning'!$W:$W,"&lt;"&amp;$B45+7))</f>
        <v/>
      </c>
      <c r="D45" s="86" t="n"/>
      <c r="E45" s="86" t="n">
        <v>60</v>
      </c>
      <c r="F45" s="138">
        <f>IF($B45="","",MIN(IF(D45="",E45,D45),C45))</f>
        <v/>
      </c>
      <c r="G45" s="139">
        <f>IF($B45="","",IFERROR(LOOKUP(2,1/(H45:H$57&gt;0),ROW(H45:H$57))-ROW(H45)+1,0))</f>
        <v/>
      </c>
      <c r="H45" s="140">
        <f>IF($B45="","",C45-F45)</f>
        <v/>
      </c>
      <c r="I45" s="137">
        <f>IF($B45="","",N44+SUMIFS('2. Ops Planning'!$C:$C,'2. Ops Planning'!$B:$B,$I$4,'2. Ops Planning'!$W:$W,"&gt;="&amp;$B45,'2. Ops Planning'!$W:$W,"&lt;"&amp;$B45+7))</f>
        <v/>
      </c>
      <c r="J45" s="86" t="n"/>
      <c r="K45" s="86" t="n">
        <v>36</v>
      </c>
      <c r="L45" s="138">
        <f>IF($B45="","",MIN(IF(J45="",K45,J45),I45))</f>
        <v/>
      </c>
      <c r="M45" s="139">
        <f>IF($B45="","",IFERROR(LOOKUP(2,1/(N45:N$57&gt;0),ROW(N45:N$57))-ROW(N45)+1,0))</f>
        <v/>
      </c>
      <c r="N45" s="140">
        <f>IF($B45="","",I45-L45)</f>
        <v/>
      </c>
      <c r="O45" s="137">
        <f>IF($B45="","",T44+SUMIFS('2. Ops Planning'!$C:$C,'2. Ops Planning'!$B:$B,$O$4,'2. Ops Planning'!$W:$W,"&gt;="&amp;$B45,'2. Ops Planning'!$W:$W,"&lt;"&amp;$B45+7))</f>
        <v/>
      </c>
      <c r="P45" s="86" t="n"/>
      <c r="Q45" s="86" t="n">
        <v>40</v>
      </c>
      <c r="R45" s="138">
        <f>IF($B45="","",MIN(IF(P45="",Q45,P45),O45))</f>
        <v/>
      </c>
      <c r="S45" s="139">
        <f>IF($B45="","",IFERROR(LOOKUP(2,1/(T45:T$57&gt;0),ROW(T45:T$57))-ROW(T45)+1,0))</f>
        <v/>
      </c>
      <c r="T45" s="140">
        <f>IF($B45="","",O45-R45)</f>
        <v/>
      </c>
      <c r="U45" s="137">
        <f>IF($B45="","",Z44+SUMIFS('2. Ops Planning'!$C:$C,'2. Ops Planning'!$B:$B,$U$4,'2. Ops Planning'!$W:$W,"&gt;="&amp;$B45,'2. Ops Planning'!$W:$W,"&lt;"&amp;$B45+7))</f>
        <v/>
      </c>
      <c r="V45" s="86" t="n"/>
      <c r="W45" s="86" t="n">
        <v>20</v>
      </c>
      <c r="X45" s="138">
        <f>IF($B45="","",MIN(IF(V45="",W45,V45),U45))</f>
        <v/>
      </c>
      <c r="Y45" s="139">
        <f>IF($B45="","",IFERROR(LOOKUP(2,1/(Z45:Z$57&gt;0),ROW(Z45:Z$57))-ROW(Z45)+1,0))</f>
        <v/>
      </c>
      <c r="Z45" s="140">
        <f>IF($B45="","",U45-X45)</f>
        <v/>
      </c>
    </row>
    <row r="46" ht="19.5" customHeight="1" s="58">
      <c r="A46" s="83" t="n">
        <v>41</v>
      </c>
      <c r="B46" s="84" t="n">
        <v>45943</v>
      </c>
      <c r="C46" s="137">
        <f>IF($B46="","",H45+SUMIFS('2. Ops Planning'!$C:$C,'2. Ops Planning'!$B:$B,$C$4,'2. Ops Planning'!$W:$W,"&gt;="&amp;$B46,'2. Ops Planning'!$W:$W,"&lt;"&amp;$B46+7))</f>
        <v/>
      </c>
      <c r="D46" s="86" t="n"/>
      <c r="E46" s="86" t="n">
        <v>60</v>
      </c>
      <c r="F46" s="138">
        <f>IF($B46="","",MIN(IF(D46="",E46,D46),C46))</f>
        <v/>
      </c>
      <c r="G46" s="139">
        <f>IF($B46="","",IFERROR(LOOKUP(2,1/(H46:H$57&gt;0),ROW(H46:H$57))-ROW(H46)+1,0))</f>
        <v/>
      </c>
      <c r="H46" s="140">
        <f>IF($B46="","",C46-F46)</f>
        <v/>
      </c>
      <c r="I46" s="137">
        <f>IF($B46="","",N45+SUMIFS('2. Ops Planning'!$C:$C,'2. Ops Planning'!$B:$B,$I$4,'2. Ops Planning'!$W:$W,"&gt;="&amp;$B46,'2. Ops Planning'!$W:$W,"&lt;"&amp;$B46+7))</f>
        <v/>
      </c>
      <c r="J46" s="86" t="n"/>
      <c r="K46" s="86" t="n">
        <v>36</v>
      </c>
      <c r="L46" s="138">
        <f>IF($B46="","",MIN(IF(J46="",K46,J46),I46))</f>
        <v/>
      </c>
      <c r="M46" s="139">
        <f>IF($B46="","",IFERROR(LOOKUP(2,1/(N46:N$57&gt;0),ROW(N46:N$57))-ROW(N46)+1,0))</f>
        <v/>
      </c>
      <c r="N46" s="140">
        <f>IF($B46="","",I46-L46)</f>
        <v/>
      </c>
      <c r="O46" s="137">
        <f>IF($B46="","",T45+SUMIFS('2. Ops Planning'!$C:$C,'2. Ops Planning'!$B:$B,$O$4,'2. Ops Planning'!$W:$W,"&gt;="&amp;$B46,'2. Ops Planning'!$W:$W,"&lt;"&amp;$B46+7))</f>
        <v/>
      </c>
      <c r="P46" s="86" t="n"/>
      <c r="Q46" s="86" t="n">
        <v>40</v>
      </c>
      <c r="R46" s="138">
        <f>IF($B46="","",MIN(IF(P46="",Q46,P46),O46))</f>
        <v/>
      </c>
      <c r="S46" s="139">
        <f>IF($B46="","",IFERROR(LOOKUP(2,1/(T46:T$57&gt;0),ROW(T46:T$57))-ROW(T46)+1,0))</f>
        <v/>
      </c>
      <c r="T46" s="140">
        <f>IF($B46="","",O46-R46)</f>
        <v/>
      </c>
      <c r="U46" s="137">
        <f>IF($B46="","",Z45+SUMIFS('2. Ops Planning'!$C:$C,'2. Ops Planning'!$B:$B,$U$4,'2. Ops Planning'!$W:$W,"&gt;="&amp;$B46,'2. Ops Planning'!$W:$W,"&lt;"&amp;$B46+7))</f>
        <v/>
      </c>
      <c r="V46" s="86" t="n"/>
      <c r="W46" s="86" t="n">
        <v>20</v>
      </c>
      <c r="X46" s="138">
        <f>IF($B46="","",MIN(IF(V46="",W46,V46),U46))</f>
        <v/>
      </c>
      <c r="Y46" s="139">
        <f>IF($B46="","",IFERROR(LOOKUP(2,1/(Z46:Z$57&gt;0),ROW(Z46:Z$57))-ROW(Z46)+1,0))</f>
        <v/>
      </c>
      <c r="Z46" s="140">
        <f>IF($B46="","",U46-X46)</f>
        <v/>
      </c>
    </row>
    <row r="47" ht="19.5" customHeight="1" s="58">
      <c r="A47" s="83" t="n">
        <v>42</v>
      </c>
      <c r="B47" s="84" t="n">
        <v>45950</v>
      </c>
      <c r="C47" s="137">
        <f>IF($B47="","",H46+SUMIFS('2. Ops Planning'!$C:$C,'2. Ops Planning'!$B:$B,$C$4,'2. Ops Planning'!$W:$W,"&gt;="&amp;$B47,'2. Ops Planning'!$W:$W,"&lt;"&amp;$B47+7))</f>
        <v/>
      </c>
      <c r="D47" s="86" t="n"/>
      <c r="E47" s="86" t="n">
        <v>60</v>
      </c>
      <c r="F47" s="138">
        <f>IF($B47="","",MIN(IF(D47="",E47,D47),C47))</f>
        <v/>
      </c>
      <c r="G47" s="139">
        <f>IF($B47="","",IFERROR(LOOKUP(2,1/(H47:H$57&gt;0),ROW(H47:H$57))-ROW(H47)+1,0))</f>
        <v/>
      </c>
      <c r="H47" s="140">
        <f>IF($B47="","",C47-F47)</f>
        <v/>
      </c>
      <c r="I47" s="137">
        <f>IF($B47="","",N46+SUMIFS('2. Ops Planning'!$C:$C,'2. Ops Planning'!$B:$B,$I$4,'2. Ops Planning'!$W:$W,"&gt;="&amp;$B47,'2. Ops Planning'!$W:$W,"&lt;"&amp;$B47+7))</f>
        <v/>
      </c>
      <c r="J47" s="86" t="n"/>
      <c r="K47" s="86" t="n">
        <v>36</v>
      </c>
      <c r="L47" s="138">
        <f>IF($B47="","",MIN(IF(J47="",K47,J47),I47))</f>
        <v/>
      </c>
      <c r="M47" s="139">
        <f>IF($B47="","",IFERROR(LOOKUP(2,1/(N47:N$57&gt;0),ROW(N47:N$57))-ROW(N47)+1,0))</f>
        <v/>
      </c>
      <c r="N47" s="140">
        <f>IF($B47="","",I47-L47)</f>
        <v/>
      </c>
      <c r="O47" s="137">
        <f>IF($B47="","",T46+SUMIFS('2. Ops Planning'!$C:$C,'2. Ops Planning'!$B:$B,$O$4,'2. Ops Planning'!$W:$W,"&gt;="&amp;$B47,'2. Ops Planning'!$W:$W,"&lt;"&amp;$B47+7))</f>
        <v/>
      </c>
      <c r="P47" s="86" t="n"/>
      <c r="Q47" s="86" t="n">
        <v>40</v>
      </c>
      <c r="R47" s="138">
        <f>IF($B47="","",MIN(IF(P47="",Q47,P47),O47))</f>
        <v/>
      </c>
      <c r="S47" s="139">
        <f>IF($B47="","",IFERROR(LOOKUP(2,1/(T47:T$57&gt;0),ROW(T47:T$57))-ROW(T47)+1,0))</f>
        <v/>
      </c>
      <c r="T47" s="140">
        <f>IF($B47="","",O47-R47)</f>
        <v/>
      </c>
      <c r="U47" s="137">
        <f>IF($B47="","",Z46+SUMIFS('2. Ops Planning'!$C:$C,'2. Ops Planning'!$B:$B,$U$4,'2. Ops Planning'!$W:$W,"&gt;="&amp;$B47,'2. Ops Planning'!$W:$W,"&lt;"&amp;$B47+7))</f>
        <v/>
      </c>
      <c r="V47" s="86" t="n"/>
      <c r="W47" s="86" t="n">
        <v>20</v>
      </c>
      <c r="X47" s="138">
        <f>IF($B47="","",MIN(IF(V47="",W47,V47),U47))</f>
        <v/>
      </c>
      <c r="Y47" s="139">
        <f>IF($B47="","",IFERROR(LOOKUP(2,1/(Z47:Z$57&gt;0),ROW(Z47:Z$57))-ROW(Z47)+1,0))</f>
        <v/>
      </c>
      <c r="Z47" s="140">
        <f>IF($B47="","",U47-X47)</f>
        <v/>
      </c>
    </row>
    <row r="48" ht="19.5" customHeight="1" s="58">
      <c r="A48" s="83" t="n">
        <v>43</v>
      </c>
      <c r="B48" s="84" t="n">
        <v>45957</v>
      </c>
      <c r="C48" s="137">
        <f>IF($B48="","",H47+SUMIFS('2. Ops Planning'!$C:$C,'2. Ops Planning'!$B:$B,$C$4,'2. Ops Planning'!$W:$W,"&gt;="&amp;$B48,'2. Ops Planning'!$W:$W,"&lt;"&amp;$B48+7))</f>
        <v/>
      </c>
      <c r="D48" s="86" t="n"/>
      <c r="E48" s="86" t="n">
        <v>60</v>
      </c>
      <c r="F48" s="138">
        <f>IF($B48="","",MIN(IF(D48="",E48,D48),C48))</f>
        <v/>
      </c>
      <c r="G48" s="139">
        <f>IF($B48="","",IFERROR(LOOKUP(2,1/(H48:H$57&gt;0),ROW(H48:H$57))-ROW(H48)+1,0))</f>
        <v/>
      </c>
      <c r="H48" s="140">
        <f>IF($B48="","",C48-F48)</f>
        <v/>
      </c>
      <c r="I48" s="137">
        <f>IF($B48="","",N47+SUMIFS('2. Ops Planning'!$C:$C,'2. Ops Planning'!$B:$B,$I$4,'2. Ops Planning'!$W:$W,"&gt;="&amp;$B48,'2. Ops Planning'!$W:$W,"&lt;"&amp;$B48+7))</f>
        <v/>
      </c>
      <c r="J48" s="86" t="n"/>
      <c r="K48" s="86" t="n">
        <v>36</v>
      </c>
      <c r="L48" s="138">
        <f>IF($B48="","",MIN(IF(J48="",K48,J48),I48))</f>
        <v/>
      </c>
      <c r="M48" s="139">
        <f>IF($B48="","",IFERROR(LOOKUP(2,1/(N48:N$57&gt;0),ROW(N48:N$57))-ROW(N48)+1,0))</f>
        <v/>
      </c>
      <c r="N48" s="140">
        <f>IF($B48="","",I48-L48)</f>
        <v/>
      </c>
      <c r="O48" s="137">
        <f>IF($B48="","",T47+SUMIFS('2. Ops Planning'!$C:$C,'2. Ops Planning'!$B:$B,$O$4,'2. Ops Planning'!$W:$W,"&gt;="&amp;$B48,'2. Ops Planning'!$W:$W,"&lt;"&amp;$B48+7))</f>
        <v/>
      </c>
      <c r="P48" s="86" t="n"/>
      <c r="Q48" s="86" t="n">
        <v>40</v>
      </c>
      <c r="R48" s="138">
        <f>IF($B48="","",MIN(IF(P48="",Q48,P48),O48))</f>
        <v/>
      </c>
      <c r="S48" s="139">
        <f>IF($B48="","",IFERROR(LOOKUP(2,1/(T48:T$57&gt;0),ROW(T48:T$57))-ROW(T48)+1,0))</f>
        <v/>
      </c>
      <c r="T48" s="140">
        <f>IF($B48="","",O48-R48)</f>
        <v/>
      </c>
      <c r="U48" s="137">
        <f>IF($B48="","",Z47+SUMIFS('2. Ops Planning'!$C:$C,'2. Ops Planning'!$B:$B,$U$4,'2. Ops Planning'!$W:$W,"&gt;="&amp;$B48,'2. Ops Planning'!$W:$W,"&lt;"&amp;$B48+7))</f>
        <v/>
      </c>
      <c r="V48" s="86" t="n"/>
      <c r="W48" s="86" t="n">
        <v>20</v>
      </c>
      <c r="X48" s="138">
        <f>IF($B48="","",MIN(IF(V48="",W48,V48),U48))</f>
        <v/>
      </c>
      <c r="Y48" s="139">
        <f>IF($B48="","",IFERROR(LOOKUP(2,1/(Z48:Z$57&gt;0),ROW(Z48:Z$57))-ROW(Z48)+1,0))</f>
        <v/>
      </c>
      <c r="Z48" s="140">
        <f>IF($B48="","",U48-X48)</f>
        <v/>
      </c>
    </row>
    <row r="49" ht="19.5" customHeight="1" s="58">
      <c r="A49" s="83" t="n">
        <v>44</v>
      </c>
      <c r="B49" s="84" t="n">
        <v>45964</v>
      </c>
      <c r="C49" s="137">
        <f>IF($B49="","",H48+SUMIFS('2. Ops Planning'!$C:$C,'2. Ops Planning'!$B:$B,$C$4,'2. Ops Planning'!$W:$W,"&gt;="&amp;$B49,'2. Ops Planning'!$W:$W,"&lt;"&amp;$B49+7))</f>
        <v/>
      </c>
      <c r="D49" s="86" t="n"/>
      <c r="E49" s="86" t="n">
        <v>60</v>
      </c>
      <c r="F49" s="138">
        <f>IF($B49="","",MIN(IF(D49="",E49,D49),C49))</f>
        <v/>
      </c>
      <c r="G49" s="139">
        <f>IF($B49="","",IFERROR(LOOKUP(2,1/(H49:H$57&gt;0),ROW(H49:H$57))-ROW(H49)+1,0))</f>
        <v/>
      </c>
      <c r="H49" s="140">
        <f>IF($B49="","",C49-F49)</f>
        <v/>
      </c>
      <c r="I49" s="137">
        <f>IF($B49="","",N48+SUMIFS('2. Ops Planning'!$C:$C,'2. Ops Planning'!$B:$B,$I$4,'2. Ops Planning'!$W:$W,"&gt;="&amp;$B49,'2. Ops Planning'!$W:$W,"&lt;"&amp;$B49+7))</f>
        <v/>
      </c>
      <c r="J49" s="86" t="n"/>
      <c r="K49" s="86" t="n">
        <v>36</v>
      </c>
      <c r="L49" s="138">
        <f>IF($B49="","",MIN(IF(J49="",K49,J49),I49))</f>
        <v/>
      </c>
      <c r="M49" s="139">
        <f>IF($B49="","",IFERROR(LOOKUP(2,1/(N49:N$57&gt;0),ROW(N49:N$57))-ROW(N49)+1,0))</f>
        <v/>
      </c>
      <c r="N49" s="140">
        <f>IF($B49="","",I49-L49)</f>
        <v/>
      </c>
      <c r="O49" s="137">
        <f>IF($B49="","",T48+SUMIFS('2. Ops Planning'!$C:$C,'2. Ops Planning'!$B:$B,$O$4,'2. Ops Planning'!$W:$W,"&gt;="&amp;$B49,'2. Ops Planning'!$W:$W,"&lt;"&amp;$B49+7))</f>
        <v/>
      </c>
      <c r="P49" s="86" t="n"/>
      <c r="Q49" s="86" t="n">
        <v>40</v>
      </c>
      <c r="R49" s="138">
        <f>IF($B49="","",MIN(IF(P49="",Q49,P49),O49))</f>
        <v/>
      </c>
      <c r="S49" s="139">
        <f>IF($B49="","",IFERROR(LOOKUP(2,1/(T49:T$57&gt;0),ROW(T49:T$57))-ROW(T49)+1,0))</f>
        <v/>
      </c>
      <c r="T49" s="140">
        <f>IF($B49="","",O49-R49)</f>
        <v/>
      </c>
      <c r="U49" s="137">
        <f>IF($B49="","",Z48+SUMIFS('2. Ops Planning'!$C:$C,'2. Ops Planning'!$B:$B,$U$4,'2. Ops Planning'!$W:$W,"&gt;="&amp;$B49,'2. Ops Planning'!$W:$W,"&lt;"&amp;$B49+7))</f>
        <v/>
      </c>
      <c r="V49" s="86" t="n"/>
      <c r="W49" s="86" t="n">
        <v>20</v>
      </c>
      <c r="X49" s="138">
        <f>IF($B49="","",MIN(IF(V49="",W49,V49),U49))</f>
        <v/>
      </c>
      <c r="Y49" s="139">
        <f>IF($B49="","",IFERROR(LOOKUP(2,1/(Z49:Z$57&gt;0),ROW(Z49:Z$57))-ROW(Z49)+1,0))</f>
        <v/>
      </c>
      <c r="Z49" s="140">
        <f>IF($B49="","",U49-X49)</f>
        <v/>
      </c>
    </row>
    <row r="50" ht="19.5" customHeight="1" s="58">
      <c r="A50" s="83" t="n">
        <v>45</v>
      </c>
      <c r="B50" s="84" t="n">
        <v>45971</v>
      </c>
      <c r="C50" s="137">
        <f>IF($B50="","",H49+SUMIFS('2. Ops Planning'!$C:$C,'2. Ops Planning'!$B:$B,$C$4,'2. Ops Planning'!$W:$W,"&gt;="&amp;$B50,'2. Ops Planning'!$W:$W,"&lt;"&amp;$B50+7))</f>
        <v/>
      </c>
      <c r="D50" s="86" t="n"/>
      <c r="E50" s="86" t="n">
        <v>60</v>
      </c>
      <c r="F50" s="138">
        <f>IF($B50="","",MIN(IF(D50="",E50,D50),C50))</f>
        <v/>
      </c>
      <c r="G50" s="139">
        <f>IF($B50="","",IFERROR(LOOKUP(2,1/(H50:H$57&gt;0),ROW(H50:H$57))-ROW(H50)+1,0))</f>
        <v/>
      </c>
      <c r="H50" s="140">
        <f>IF($B50="","",C50-F50)</f>
        <v/>
      </c>
      <c r="I50" s="137">
        <f>IF($B50="","",N49+SUMIFS('2. Ops Planning'!$C:$C,'2. Ops Planning'!$B:$B,$I$4,'2. Ops Planning'!$W:$W,"&gt;="&amp;$B50,'2. Ops Planning'!$W:$W,"&lt;"&amp;$B50+7))</f>
        <v/>
      </c>
      <c r="J50" s="86" t="n"/>
      <c r="K50" s="86" t="n">
        <v>36</v>
      </c>
      <c r="L50" s="138">
        <f>IF($B50="","",MIN(IF(J50="",K50,J50),I50))</f>
        <v/>
      </c>
      <c r="M50" s="139">
        <f>IF($B50="","",IFERROR(LOOKUP(2,1/(N50:N$57&gt;0),ROW(N50:N$57))-ROW(N50)+1,0))</f>
        <v/>
      </c>
      <c r="N50" s="140">
        <f>IF($B50="","",I50-L50)</f>
        <v/>
      </c>
      <c r="O50" s="137">
        <f>IF($B50="","",T49+SUMIFS('2. Ops Planning'!$C:$C,'2. Ops Planning'!$B:$B,$O$4,'2. Ops Planning'!$W:$W,"&gt;="&amp;$B50,'2. Ops Planning'!$W:$W,"&lt;"&amp;$B50+7))</f>
        <v/>
      </c>
      <c r="P50" s="86" t="n"/>
      <c r="Q50" s="86" t="n">
        <v>40</v>
      </c>
      <c r="R50" s="138">
        <f>IF($B50="","",MIN(IF(P50="",Q50,P50),O50))</f>
        <v/>
      </c>
      <c r="S50" s="139">
        <f>IF($B50="","",IFERROR(LOOKUP(2,1/(T50:T$57&gt;0),ROW(T50:T$57))-ROW(T50)+1,0))</f>
        <v/>
      </c>
      <c r="T50" s="140">
        <f>IF($B50="","",O50-R50)</f>
        <v/>
      </c>
      <c r="U50" s="137">
        <f>IF($B50="","",Z49+SUMIFS('2. Ops Planning'!$C:$C,'2. Ops Planning'!$B:$B,$U$4,'2. Ops Planning'!$W:$W,"&gt;="&amp;$B50,'2. Ops Planning'!$W:$W,"&lt;"&amp;$B50+7))</f>
        <v/>
      </c>
      <c r="V50" s="86" t="n"/>
      <c r="W50" s="86" t="n">
        <v>20</v>
      </c>
      <c r="X50" s="138">
        <f>IF($B50="","",MIN(IF(V50="",W50,V50),U50))</f>
        <v/>
      </c>
      <c r="Y50" s="139">
        <f>IF($B50="","",IFERROR(LOOKUP(2,1/(Z50:Z$57&gt;0),ROW(Z50:Z$57))-ROW(Z50)+1,0))</f>
        <v/>
      </c>
      <c r="Z50" s="140">
        <f>IF($B50="","",U50-X50)</f>
        <v/>
      </c>
    </row>
    <row r="51" ht="19.5" customHeight="1" s="58">
      <c r="A51" s="83" t="n">
        <v>46</v>
      </c>
      <c r="B51" s="84" t="n">
        <v>45978</v>
      </c>
      <c r="C51" s="137">
        <f>IF($B51="","",H50+SUMIFS('2. Ops Planning'!$C:$C,'2. Ops Planning'!$B:$B,$C$4,'2. Ops Planning'!$W:$W,"&gt;="&amp;$B51,'2. Ops Planning'!$W:$W,"&lt;"&amp;$B51+7))</f>
        <v/>
      </c>
      <c r="D51" s="86" t="n"/>
      <c r="E51" s="86" t="n">
        <v>60</v>
      </c>
      <c r="F51" s="138">
        <f>IF($B51="","",MIN(IF(D51="",E51,D51),C51))</f>
        <v/>
      </c>
      <c r="G51" s="139">
        <f>IF($B51="","",IFERROR(LOOKUP(2,1/(H51:H$57&gt;0),ROW(H51:H$57))-ROW(H51)+1,0))</f>
        <v/>
      </c>
      <c r="H51" s="140">
        <f>IF($B51="","",C51-F51)</f>
        <v/>
      </c>
      <c r="I51" s="137">
        <f>IF($B51="","",N50+SUMIFS('2. Ops Planning'!$C:$C,'2. Ops Planning'!$B:$B,$I$4,'2. Ops Planning'!$W:$W,"&gt;="&amp;$B51,'2. Ops Planning'!$W:$W,"&lt;"&amp;$B51+7))</f>
        <v/>
      </c>
      <c r="J51" s="86" t="n"/>
      <c r="K51" s="86" t="n">
        <v>36</v>
      </c>
      <c r="L51" s="138">
        <f>IF($B51="","",MIN(IF(J51="",K51,J51),I51))</f>
        <v/>
      </c>
      <c r="M51" s="139">
        <f>IF($B51="","",IFERROR(LOOKUP(2,1/(N51:N$57&gt;0),ROW(N51:N$57))-ROW(N51)+1,0))</f>
        <v/>
      </c>
      <c r="N51" s="140">
        <f>IF($B51="","",I51-L51)</f>
        <v/>
      </c>
      <c r="O51" s="137">
        <f>IF($B51="","",T50+SUMIFS('2. Ops Planning'!$C:$C,'2. Ops Planning'!$B:$B,$O$4,'2. Ops Planning'!$W:$W,"&gt;="&amp;$B51,'2. Ops Planning'!$W:$W,"&lt;"&amp;$B51+7))</f>
        <v/>
      </c>
      <c r="P51" s="86" t="n"/>
      <c r="Q51" s="86" t="n">
        <v>40</v>
      </c>
      <c r="R51" s="138">
        <f>IF($B51="","",MIN(IF(P51="",Q51,P51),O51))</f>
        <v/>
      </c>
      <c r="S51" s="139">
        <f>IF($B51="","",IFERROR(LOOKUP(2,1/(T51:T$57&gt;0),ROW(T51:T$57))-ROW(T51)+1,0))</f>
        <v/>
      </c>
      <c r="T51" s="140">
        <f>IF($B51="","",O51-R51)</f>
        <v/>
      </c>
      <c r="U51" s="137">
        <f>IF($B51="","",Z50+SUMIFS('2. Ops Planning'!$C:$C,'2. Ops Planning'!$B:$B,$U$4,'2. Ops Planning'!$W:$W,"&gt;="&amp;$B51,'2. Ops Planning'!$W:$W,"&lt;"&amp;$B51+7))</f>
        <v/>
      </c>
      <c r="V51" s="86" t="n"/>
      <c r="W51" s="86" t="n">
        <v>20</v>
      </c>
      <c r="X51" s="138">
        <f>IF($B51="","",MIN(IF(V51="",W51,V51),U51))</f>
        <v/>
      </c>
      <c r="Y51" s="139">
        <f>IF($B51="","",IFERROR(LOOKUP(2,1/(Z51:Z$57&gt;0),ROW(Z51:Z$57))-ROW(Z51)+1,0))</f>
        <v/>
      </c>
      <c r="Z51" s="140">
        <f>IF($B51="","",U51-X51)</f>
        <v/>
      </c>
    </row>
    <row r="52" ht="19.5" customHeight="1" s="58">
      <c r="A52" s="83" t="n">
        <v>47</v>
      </c>
      <c r="B52" s="84" t="n">
        <v>45985</v>
      </c>
      <c r="C52" s="137">
        <f>IF($B52="","",H51+SUMIFS('2. Ops Planning'!$C:$C,'2. Ops Planning'!$B:$B,$C$4,'2. Ops Planning'!$W:$W,"&gt;="&amp;$B52,'2. Ops Planning'!$W:$W,"&lt;"&amp;$B52+7))</f>
        <v/>
      </c>
      <c r="D52" s="86" t="n"/>
      <c r="E52" s="86" t="n">
        <v>60</v>
      </c>
      <c r="F52" s="138">
        <f>IF($B52="","",MIN(IF(D52="",E52,D52),C52))</f>
        <v/>
      </c>
      <c r="G52" s="139">
        <f>IF($B52="","",IFERROR(LOOKUP(2,1/(H52:H$57&gt;0),ROW(H52:H$57))-ROW(H52)+1,0))</f>
        <v/>
      </c>
      <c r="H52" s="140">
        <f>IF($B52="","",C52-F52)</f>
        <v/>
      </c>
      <c r="I52" s="137">
        <f>IF($B52="","",N51+SUMIFS('2. Ops Planning'!$C:$C,'2. Ops Planning'!$B:$B,$I$4,'2. Ops Planning'!$W:$W,"&gt;="&amp;$B52,'2. Ops Planning'!$W:$W,"&lt;"&amp;$B52+7))</f>
        <v/>
      </c>
      <c r="J52" s="86" t="n"/>
      <c r="K52" s="86" t="n">
        <v>36</v>
      </c>
      <c r="L52" s="138">
        <f>IF($B52="","",MIN(IF(J52="",K52,J52),I52))</f>
        <v/>
      </c>
      <c r="M52" s="139">
        <f>IF($B52="","",IFERROR(LOOKUP(2,1/(N52:N$57&gt;0),ROW(N52:N$57))-ROW(N52)+1,0))</f>
        <v/>
      </c>
      <c r="N52" s="140">
        <f>IF($B52="","",I52-L52)</f>
        <v/>
      </c>
      <c r="O52" s="137">
        <f>IF($B52="","",T51+SUMIFS('2. Ops Planning'!$C:$C,'2. Ops Planning'!$B:$B,$O$4,'2. Ops Planning'!$W:$W,"&gt;="&amp;$B52,'2. Ops Planning'!$W:$W,"&lt;"&amp;$B52+7))</f>
        <v/>
      </c>
      <c r="P52" s="86" t="n"/>
      <c r="Q52" s="86" t="n">
        <v>40</v>
      </c>
      <c r="R52" s="138">
        <f>IF($B52="","",MIN(IF(P52="",Q52,P52),O52))</f>
        <v/>
      </c>
      <c r="S52" s="139">
        <f>IF($B52="","",IFERROR(LOOKUP(2,1/(T52:T$57&gt;0),ROW(T52:T$57))-ROW(T52)+1,0))</f>
        <v/>
      </c>
      <c r="T52" s="140">
        <f>IF($B52="","",O52-R52)</f>
        <v/>
      </c>
      <c r="U52" s="137">
        <f>IF($B52="","",Z51+SUMIFS('2. Ops Planning'!$C:$C,'2. Ops Planning'!$B:$B,$U$4,'2. Ops Planning'!$W:$W,"&gt;="&amp;$B52,'2. Ops Planning'!$W:$W,"&lt;"&amp;$B52+7))</f>
        <v/>
      </c>
      <c r="V52" s="86" t="n"/>
      <c r="W52" s="86" t="n">
        <v>20</v>
      </c>
      <c r="X52" s="138">
        <f>IF($B52="","",MIN(IF(V52="",W52,V52),U52))</f>
        <v/>
      </c>
      <c r="Y52" s="139">
        <f>IF($B52="","",IFERROR(LOOKUP(2,1/(Z52:Z$57&gt;0),ROW(Z52:Z$57))-ROW(Z52)+1,0))</f>
        <v/>
      </c>
      <c r="Z52" s="140">
        <f>IF($B52="","",U52-X52)</f>
        <v/>
      </c>
    </row>
    <row r="53" ht="19.5" customHeight="1" s="58">
      <c r="A53" s="83" t="n">
        <v>48</v>
      </c>
      <c r="B53" s="84" t="n">
        <v>45992</v>
      </c>
      <c r="C53" s="137">
        <f>IF($B53="","",H52+SUMIFS('2. Ops Planning'!$C:$C,'2. Ops Planning'!$B:$B,$C$4,'2. Ops Planning'!$W:$W,"&gt;="&amp;$B53,'2. Ops Planning'!$W:$W,"&lt;"&amp;$B53+7))</f>
        <v/>
      </c>
      <c r="D53" s="86" t="n"/>
      <c r="E53" s="86" t="n">
        <v>60</v>
      </c>
      <c r="F53" s="138">
        <f>IF($B53="","",MIN(IF(D53="",E53,D53),C53))</f>
        <v/>
      </c>
      <c r="G53" s="139">
        <f>IF($B53="","",IFERROR(LOOKUP(2,1/(H53:H$57&gt;0),ROW(H53:H$57))-ROW(H53)+1,0))</f>
        <v/>
      </c>
      <c r="H53" s="140">
        <f>IF($B53="","",C53-F53)</f>
        <v/>
      </c>
      <c r="I53" s="137">
        <f>IF($B53="","",N52+SUMIFS('2. Ops Planning'!$C:$C,'2. Ops Planning'!$B:$B,$I$4,'2. Ops Planning'!$W:$W,"&gt;="&amp;$B53,'2. Ops Planning'!$W:$W,"&lt;"&amp;$B53+7))</f>
        <v/>
      </c>
      <c r="J53" s="86" t="n"/>
      <c r="K53" s="86" t="n">
        <v>36</v>
      </c>
      <c r="L53" s="138">
        <f>IF($B53="","",MIN(IF(J53="",K53,J53),I53))</f>
        <v/>
      </c>
      <c r="M53" s="139">
        <f>IF($B53="","",IFERROR(LOOKUP(2,1/(N53:N$57&gt;0),ROW(N53:N$57))-ROW(N53)+1,0))</f>
        <v/>
      </c>
      <c r="N53" s="140">
        <f>IF($B53="","",I53-L53)</f>
        <v/>
      </c>
      <c r="O53" s="137">
        <f>IF($B53="","",T52+SUMIFS('2. Ops Planning'!$C:$C,'2. Ops Planning'!$B:$B,$O$4,'2. Ops Planning'!$W:$W,"&gt;="&amp;$B53,'2. Ops Planning'!$W:$W,"&lt;"&amp;$B53+7))</f>
        <v/>
      </c>
      <c r="P53" s="86" t="n"/>
      <c r="Q53" s="86" t="n">
        <v>40</v>
      </c>
      <c r="R53" s="138">
        <f>IF($B53="","",MIN(IF(P53="",Q53,P53),O53))</f>
        <v/>
      </c>
      <c r="S53" s="139">
        <f>IF($B53="","",IFERROR(LOOKUP(2,1/(T53:T$57&gt;0),ROW(T53:T$57))-ROW(T53)+1,0))</f>
        <v/>
      </c>
      <c r="T53" s="140">
        <f>IF($B53="","",O53-R53)</f>
        <v/>
      </c>
      <c r="U53" s="137">
        <f>IF($B53="","",Z52+SUMIFS('2. Ops Planning'!$C:$C,'2. Ops Planning'!$B:$B,$U$4,'2. Ops Planning'!$W:$W,"&gt;="&amp;$B53,'2. Ops Planning'!$W:$W,"&lt;"&amp;$B53+7))</f>
        <v/>
      </c>
      <c r="V53" s="86" t="n"/>
      <c r="W53" s="86" t="n">
        <v>20</v>
      </c>
      <c r="X53" s="138">
        <f>IF($B53="","",MIN(IF(V53="",W53,V53),U53))</f>
        <v/>
      </c>
      <c r="Y53" s="139">
        <f>IF($B53="","",IFERROR(LOOKUP(2,1/(Z53:Z$57&gt;0),ROW(Z53:Z$57))-ROW(Z53)+1,0))</f>
        <v/>
      </c>
      <c r="Z53" s="140">
        <f>IF($B53="","",U53-X53)</f>
        <v/>
      </c>
    </row>
    <row r="54" ht="19.5" customHeight="1" s="58">
      <c r="A54" s="83" t="n">
        <v>49</v>
      </c>
      <c r="B54" s="84" t="n">
        <v>45999</v>
      </c>
      <c r="C54" s="137">
        <f>IF($B54="","",H53+SUMIFS('2. Ops Planning'!$C:$C,'2. Ops Planning'!$B:$B,$C$4,'2. Ops Planning'!$W:$W,"&gt;="&amp;$B54,'2. Ops Planning'!$W:$W,"&lt;"&amp;$B54+7))</f>
        <v/>
      </c>
      <c r="D54" s="86" t="n"/>
      <c r="E54" s="86" t="n">
        <v>60</v>
      </c>
      <c r="F54" s="138">
        <f>IF($B54="","",MIN(IF(D54="",E54,D54),C54))</f>
        <v/>
      </c>
      <c r="G54" s="139">
        <f>IF($B54="","",IFERROR(LOOKUP(2,1/(H54:H$57&gt;0),ROW(H54:H$57))-ROW(H54)+1,0))</f>
        <v/>
      </c>
      <c r="H54" s="140">
        <f>IF($B54="","",C54-F54)</f>
        <v/>
      </c>
      <c r="I54" s="137">
        <f>IF($B54="","",N53+SUMIFS('2. Ops Planning'!$C:$C,'2. Ops Planning'!$B:$B,$I$4,'2. Ops Planning'!$W:$W,"&gt;="&amp;$B54,'2. Ops Planning'!$W:$W,"&lt;"&amp;$B54+7))</f>
        <v/>
      </c>
      <c r="J54" s="86" t="n"/>
      <c r="K54" s="86" t="n">
        <v>36</v>
      </c>
      <c r="L54" s="138">
        <f>IF($B54="","",MIN(IF(J54="",K54,J54),I54))</f>
        <v/>
      </c>
      <c r="M54" s="139">
        <f>IF($B54="","",IFERROR(LOOKUP(2,1/(N54:N$57&gt;0),ROW(N54:N$57))-ROW(N54)+1,0))</f>
        <v/>
      </c>
      <c r="N54" s="140">
        <f>IF($B54="","",I54-L54)</f>
        <v/>
      </c>
      <c r="O54" s="137">
        <f>IF($B54="","",T53+SUMIFS('2. Ops Planning'!$C:$C,'2. Ops Planning'!$B:$B,$O$4,'2. Ops Planning'!$W:$W,"&gt;="&amp;$B54,'2. Ops Planning'!$W:$W,"&lt;"&amp;$B54+7))</f>
        <v/>
      </c>
      <c r="P54" s="86" t="n"/>
      <c r="Q54" s="86" t="n">
        <v>40</v>
      </c>
      <c r="R54" s="138">
        <f>IF($B54="","",MIN(IF(P54="",Q54,P54),O54))</f>
        <v/>
      </c>
      <c r="S54" s="139">
        <f>IF($B54="","",IFERROR(LOOKUP(2,1/(T54:T$57&gt;0),ROW(T54:T$57))-ROW(T54)+1,0))</f>
        <v/>
      </c>
      <c r="T54" s="140">
        <f>IF($B54="","",O54-R54)</f>
        <v/>
      </c>
      <c r="U54" s="137">
        <f>IF($B54="","",Z53+SUMIFS('2. Ops Planning'!$C:$C,'2. Ops Planning'!$B:$B,$U$4,'2. Ops Planning'!$W:$W,"&gt;="&amp;$B54,'2. Ops Planning'!$W:$W,"&lt;"&amp;$B54+7))</f>
        <v/>
      </c>
      <c r="V54" s="86" t="n"/>
      <c r="W54" s="86" t="n">
        <v>20</v>
      </c>
      <c r="X54" s="138">
        <f>IF($B54="","",MIN(IF(V54="",W54,V54),U54))</f>
        <v/>
      </c>
      <c r="Y54" s="139">
        <f>IF($B54="","",IFERROR(LOOKUP(2,1/(Z54:Z$57&gt;0),ROW(Z54:Z$57))-ROW(Z54)+1,0))</f>
        <v/>
      </c>
      <c r="Z54" s="140">
        <f>IF($B54="","",U54-X54)</f>
        <v/>
      </c>
    </row>
    <row r="55" ht="19.5" customHeight="1" s="58">
      <c r="A55" s="83" t="n">
        <v>50</v>
      </c>
      <c r="B55" s="84" t="n">
        <v>46006</v>
      </c>
      <c r="C55" s="137">
        <f>IF($B55="","",H54+SUMIFS('2. Ops Planning'!$C:$C,'2. Ops Planning'!$B:$B,$C$4,'2. Ops Planning'!$W:$W,"&gt;="&amp;$B55,'2. Ops Planning'!$W:$W,"&lt;"&amp;$B55+7))</f>
        <v/>
      </c>
      <c r="D55" s="86" t="n"/>
      <c r="E55" s="86" t="n">
        <v>60</v>
      </c>
      <c r="F55" s="138">
        <f>IF($B55="","",MIN(IF(D55="",E55,D55),C55))</f>
        <v/>
      </c>
      <c r="G55" s="139">
        <f>IF($B55="","",IFERROR(LOOKUP(2,1/(H55:H$57&gt;0),ROW(H55:H$57))-ROW(H55)+1,0))</f>
        <v/>
      </c>
      <c r="H55" s="140">
        <f>IF($B55="","",C55-F55)</f>
        <v/>
      </c>
      <c r="I55" s="137">
        <f>IF($B55="","",N54+SUMIFS('2. Ops Planning'!$C:$C,'2. Ops Planning'!$B:$B,$I$4,'2. Ops Planning'!$W:$W,"&gt;="&amp;$B55,'2. Ops Planning'!$W:$W,"&lt;"&amp;$B55+7))</f>
        <v/>
      </c>
      <c r="J55" s="86" t="n"/>
      <c r="K55" s="86" t="n">
        <v>36</v>
      </c>
      <c r="L55" s="138">
        <f>IF($B55="","",MIN(IF(J55="",K55,J55),I55))</f>
        <v/>
      </c>
      <c r="M55" s="139">
        <f>IF($B55="","",IFERROR(LOOKUP(2,1/(N55:N$57&gt;0),ROW(N55:N$57))-ROW(N55)+1,0))</f>
        <v/>
      </c>
      <c r="N55" s="140">
        <f>IF($B55="","",I55-L55)</f>
        <v/>
      </c>
      <c r="O55" s="137">
        <f>IF($B55="","",T54+SUMIFS('2. Ops Planning'!$C:$C,'2. Ops Planning'!$B:$B,$O$4,'2. Ops Planning'!$W:$W,"&gt;="&amp;$B55,'2. Ops Planning'!$W:$W,"&lt;"&amp;$B55+7))</f>
        <v/>
      </c>
      <c r="P55" s="86" t="n"/>
      <c r="Q55" s="86" t="n">
        <v>40</v>
      </c>
      <c r="R55" s="138">
        <f>IF($B55="","",MIN(IF(P55="",Q55,P55),O55))</f>
        <v/>
      </c>
      <c r="S55" s="139">
        <f>IF($B55="","",IFERROR(LOOKUP(2,1/(T55:T$57&gt;0),ROW(T55:T$57))-ROW(T55)+1,0))</f>
        <v/>
      </c>
      <c r="T55" s="140">
        <f>IF($B55="","",O55-R55)</f>
        <v/>
      </c>
      <c r="U55" s="137">
        <f>IF($B55="","",Z54+SUMIFS('2. Ops Planning'!$C:$C,'2. Ops Planning'!$B:$B,$U$4,'2. Ops Planning'!$W:$W,"&gt;="&amp;$B55,'2. Ops Planning'!$W:$W,"&lt;"&amp;$B55+7))</f>
        <v/>
      </c>
      <c r="V55" s="86" t="n"/>
      <c r="W55" s="86" t="n">
        <v>20</v>
      </c>
      <c r="X55" s="138">
        <f>IF($B55="","",MIN(IF(V55="",W55,V55),U55))</f>
        <v/>
      </c>
      <c r="Y55" s="139">
        <f>IF($B55="","",IFERROR(LOOKUP(2,1/(Z55:Z$57&gt;0),ROW(Z55:Z$57))-ROW(Z55)+1,0))</f>
        <v/>
      </c>
      <c r="Z55" s="140">
        <f>IF($B55="","",U55-X55)</f>
        <v/>
      </c>
    </row>
    <row r="56" ht="19.5" customHeight="1" s="58">
      <c r="A56" s="83" t="n">
        <v>51</v>
      </c>
      <c r="B56" s="84" t="n">
        <v>46013</v>
      </c>
      <c r="C56" s="137">
        <f>IF($B56="","",H55+SUMIFS('2. Ops Planning'!$C:$C,'2. Ops Planning'!$B:$B,$C$4,'2. Ops Planning'!$W:$W,"&gt;="&amp;$B56,'2. Ops Planning'!$W:$W,"&lt;"&amp;$B56+7))</f>
        <v/>
      </c>
      <c r="D56" s="86" t="n"/>
      <c r="E56" s="86" t="n">
        <v>60</v>
      </c>
      <c r="F56" s="138">
        <f>IF($B56="","",MIN(IF(D56="",E56,D56),C56))</f>
        <v/>
      </c>
      <c r="G56" s="139">
        <f>IF($B56="","",IFERROR(LOOKUP(2,1/(H56:H$57&gt;0),ROW(H56:H$57))-ROW(H56)+1,0))</f>
        <v/>
      </c>
      <c r="H56" s="140">
        <f>IF($B56="","",C56-F56)</f>
        <v/>
      </c>
      <c r="I56" s="137">
        <f>IF($B56="","",N55+SUMIFS('2. Ops Planning'!$C:$C,'2. Ops Planning'!$B:$B,$I$4,'2. Ops Planning'!$W:$W,"&gt;="&amp;$B56,'2. Ops Planning'!$W:$W,"&lt;"&amp;$B56+7))</f>
        <v/>
      </c>
      <c r="J56" s="86" t="n"/>
      <c r="K56" s="86" t="n">
        <v>36</v>
      </c>
      <c r="L56" s="138">
        <f>IF($B56="","",MIN(IF(J56="",K56,J56),I56))</f>
        <v/>
      </c>
      <c r="M56" s="139">
        <f>IF($B56="","",IFERROR(LOOKUP(2,1/(N56:N$57&gt;0),ROW(N56:N$57))-ROW(N56)+1,0))</f>
        <v/>
      </c>
      <c r="N56" s="140">
        <f>IF($B56="","",I56-L56)</f>
        <v/>
      </c>
      <c r="O56" s="137">
        <f>IF($B56="","",T55+SUMIFS('2. Ops Planning'!$C:$C,'2. Ops Planning'!$B:$B,$O$4,'2. Ops Planning'!$W:$W,"&gt;="&amp;$B56,'2. Ops Planning'!$W:$W,"&lt;"&amp;$B56+7))</f>
        <v/>
      </c>
      <c r="P56" s="86" t="n"/>
      <c r="Q56" s="86" t="n">
        <v>40</v>
      </c>
      <c r="R56" s="138">
        <f>IF($B56="","",MIN(IF(P56="",Q56,P56),O56))</f>
        <v/>
      </c>
      <c r="S56" s="139">
        <f>IF($B56="","",IFERROR(LOOKUP(2,1/(T56:T$57&gt;0),ROW(T56:T$57))-ROW(T56)+1,0))</f>
        <v/>
      </c>
      <c r="T56" s="140">
        <f>IF($B56="","",O56-R56)</f>
        <v/>
      </c>
      <c r="U56" s="137">
        <f>IF($B56="","",Z55+SUMIFS('2. Ops Planning'!$C:$C,'2. Ops Planning'!$B:$B,$U$4,'2. Ops Planning'!$W:$W,"&gt;="&amp;$B56,'2. Ops Planning'!$W:$W,"&lt;"&amp;$B56+7))</f>
        <v/>
      </c>
      <c r="V56" s="86" t="n"/>
      <c r="W56" s="86" t="n">
        <v>20</v>
      </c>
      <c r="X56" s="138">
        <f>IF($B56="","",MIN(IF(V56="",W56,V56),U56))</f>
        <v/>
      </c>
      <c r="Y56" s="139">
        <f>IF($B56="","",IFERROR(LOOKUP(2,1/(Z56:Z$57&gt;0),ROW(Z56:Z$57))-ROW(Z56)+1,0))</f>
        <v/>
      </c>
      <c r="Z56" s="140">
        <f>IF($B56="","",U56-X56)</f>
        <v/>
      </c>
    </row>
    <row r="57" ht="19.5" customHeight="1" s="58">
      <c r="A57" s="83" t="n">
        <v>52</v>
      </c>
      <c r="B57" s="84" t="n">
        <v>46020</v>
      </c>
      <c r="C57" s="137">
        <f>IF($B57="","",H56+SUMIFS('2. Ops Planning'!$C:$C,'2. Ops Planning'!$B:$B,$C$4,'2. Ops Planning'!$W:$W,"&gt;="&amp;$B57,'2. Ops Planning'!$W:$W,"&lt;"&amp;$B57+7))</f>
        <v/>
      </c>
      <c r="D57" s="86" t="n"/>
      <c r="E57" s="86" t="n">
        <v>60</v>
      </c>
      <c r="F57" s="138">
        <f>IF($B57="","",MIN(IF(D57="",E57,D57),C57))</f>
        <v/>
      </c>
      <c r="G57" s="139">
        <f>IF($B57="","",IFERROR(LOOKUP(2,1/(H57:H$57&gt;0),ROW(H57:H$57))-ROW(H57)+1,0))</f>
        <v/>
      </c>
      <c r="H57" s="140">
        <f>IF($B57="","",C57-F57)</f>
        <v/>
      </c>
      <c r="I57" s="137">
        <f>IF($B57="","",N56+SUMIFS('2. Ops Planning'!$C:$C,'2. Ops Planning'!$B:$B,$I$4,'2. Ops Planning'!$W:$W,"&gt;="&amp;$B57,'2. Ops Planning'!$W:$W,"&lt;"&amp;$B57+7))</f>
        <v/>
      </c>
      <c r="J57" s="86" t="n"/>
      <c r="K57" s="86" t="n">
        <v>36</v>
      </c>
      <c r="L57" s="138">
        <f>IF($B57="","",MIN(IF(J57="",K57,J57),I57))</f>
        <v/>
      </c>
      <c r="M57" s="139">
        <f>IF($B57="","",IFERROR(LOOKUP(2,1/(N57:N$57&gt;0),ROW(N57:N$57))-ROW(N57)+1,0))</f>
        <v/>
      </c>
      <c r="N57" s="140">
        <f>IF($B57="","",I57-L57)</f>
        <v/>
      </c>
      <c r="O57" s="137">
        <f>IF($B57="","",T56+SUMIFS('2. Ops Planning'!$C:$C,'2. Ops Planning'!$B:$B,$O$4,'2. Ops Planning'!$W:$W,"&gt;="&amp;$B57,'2. Ops Planning'!$W:$W,"&lt;"&amp;$B57+7))</f>
        <v/>
      </c>
      <c r="P57" s="86" t="n"/>
      <c r="Q57" s="86" t="n">
        <v>40</v>
      </c>
      <c r="R57" s="138">
        <f>IF($B57="","",MIN(IF(P57="",Q57,P57),O57))</f>
        <v/>
      </c>
      <c r="S57" s="139">
        <f>IF($B57="","",IFERROR(LOOKUP(2,1/(T57:T$57&gt;0),ROW(T57:T$57))-ROW(T57)+1,0))</f>
        <v/>
      </c>
      <c r="T57" s="140">
        <f>IF($B57="","",O57-R57)</f>
        <v/>
      </c>
      <c r="U57" s="137">
        <f>IF($B57="","",Z56+SUMIFS('2. Ops Planning'!$C:$C,'2. Ops Planning'!$B:$B,$U$4,'2. Ops Planning'!$W:$W,"&gt;="&amp;$B57,'2. Ops Planning'!$W:$W,"&lt;"&amp;$B57+7))</f>
        <v/>
      </c>
      <c r="V57" s="86" t="n"/>
      <c r="W57" s="86" t="n">
        <v>20</v>
      </c>
      <c r="X57" s="138">
        <f>IF($B57="","",MIN(IF(V57="",W57,V57),U57))</f>
        <v/>
      </c>
      <c r="Y57" s="139">
        <f>IF($B57="","",IFERROR(LOOKUP(2,1/(Z57:Z$57&gt;0),ROW(Z57:Z$57))-ROW(Z57)+1,0))</f>
        <v/>
      </c>
      <c r="Z57" s="140">
        <f>IF($B57="","",U57-X57)</f>
        <v/>
      </c>
    </row>
    <row r="58" ht="15" customHeight="1" s="58"/>
    <row r="59" ht="15" customHeight="1" s="58"/>
    <row r="60" ht="15" customHeight="1" s="58"/>
    <row r="61" ht="15" customHeight="1" s="58"/>
  </sheetData>
  <mergeCells count="5">
    <mergeCell ref="O4:T4"/>
    <mergeCell ref="U4:Z4"/>
    <mergeCell ref="C4:H4"/>
    <mergeCell ref="A2:Z2"/>
    <mergeCell ref="I4:N4"/>
  </mergeCells>
  <conditionalFormatting sqref="G6:G57">
    <cfRule type="expression" priority="5" dxfId="4">
      <formula>=AND($B6&lt;&gt;"",G6&lt;='1. Product Setup'!$C$25)</formula>
    </cfRule>
  </conditionalFormatting>
  <conditionalFormatting sqref="N6:N57">
    <cfRule type="expression" priority="6" dxfId="4">
      <formula>=AND($B6&lt;&gt;"",N6&lt;='1. Product Setup'!$C$25)</formula>
    </cfRule>
  </conditionalFormatting>
  <conditionalFormatting sqref="T6:T57">
    <cfRule type="expression" priority="7" dxfId="4">
      <formula>=AND($B6&lt;&gt;"",T6&lt;='1. Product Setup'!$C$25)</formula>
    </cfRule>
  </conditionalFormatting>
  <conditionalFormatting sqref="Z6:Z57">
    <cfRule type="expression" priority="8" dxfId="4">
      <formula>=AND($B6&lt;&gt;"",Z6&lt;='1. Product Setup'!$C$25)</formula>
    </cfRule>
  </conditionalFormatting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2:Y1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4" topLeftCell="C5" activePane="bottomRight" state="frozen"/>
      <selection pane="topRight" activeCell="A1" sqref="A1"/>
      <selection pane="bottomLeft" activeCell="A1" sqref="A1"/>
      <selection pane="bottomRight" activeCell="A1" activeCellId="0" sqref="A1"/>
    </sheetView>
  </sheetViews>
  <sheetFormatPr baseColWidth="8" defaultColWidth="8.6796875" defaultRowHeight="15" zeroHeight="0" outlineLevelRow="0"/>
  <cols>
    <col width="12" customWidth="1" style="57" min="1" max="1"/>
    <col width="12" customWidth="1" style="57" min="2" max="14"/>
    <col width="12" customWidth="1" style="58" min="3" max="3"/>
    <col width="12" customWidth="1" style="58" min="4" max="4"/>
    <col width="12" customWidth="1" style="58" min="5" max="5"/>
    <col width="12" customWidth="1" style="58" min="6" max="6"/>
    <col width="12" customWidth="1" style="58" min="7" max="7"/>
    <col width="12" customWidth="1" style="58" min="8" max="8"/>
    <col width="12" customWidth="1" style="58" min="9" max="9"/>
    <col width="12" customWidth="1" style="58" min="10" max="10"/>
    <col width="12" customWidth="1" style="58" min="11" max="11"/>
    <col width="12" customWidth="1" style="58" min="12" max="12"/>
    <col width="12" customWidth="1" style="58" min="13" max="13"/>
    <col width="12" customWidth="1" style="58" min="14" max="14"/>
    <col width="12" customWidth="1" style="58" min="15" max="15"/>
    <col width="12" customWidth="1" style="58" min="16" max="16"/>
    <col width="12" customWidth="1" style="58" min="17" max="17"/>
    <col width="12" customWidth="1" style="58" min="18" max="18"/>
    <col width="12" customWidth="1" style="58" min="19" max="19"/>
    <col width="12" customWidth="1" style="58" min="20" max="20"/>
    <col width="12" customWidth="1" style="58" min="21" max="21"/>
    <col width="12" customWidth="1" style="58" min="22" max="22"/>
    <col width="12" customWidth="1" style="58" min="23" max="23"/>
    <col width="12" customWidth="1" style="58" min="24" max="24"/>
    <col width="12" customWidth="1" style="58" min="25" max="25"/>
  </cols>
  <sheetData>
    <row r="1" ht="19.5" customHeight="1" s="58"/>
    <row r="2" ht="19.5" customHeight="1" s="58">
      <c r="B2" s="59" t="inlineStr">
        <is>
          <t>WEEKLY PROFIT &amp; LOSS</t>
        </is>
      </c>
    </row>
    <row r="3" ht="19.5" customHeight="1" s="58"/>
    <row r="4" ht="19.5" customHeight="1" s="58">
      <c r="B4" s="82" t="inlineStr">
        <is>
          <t>Week</t>
        </is>
      </c>
      <c r="C4" s="82" t="inlineStr">
        <is>
          <t>Date</t>
        </is>
      </c>
      <c r="D4" s="82" t="inlineStr">
        <is>
          <t>Units</t>
        </is>
      </c>
      <c r="E4" s="82" t="inlineStr">
        <is>
          <t>Revenue</t>
        </is>
      </c>
      <c r="F4" s="82" t="inlineStr">
        <is>
          <t>COGS</t>
        </is>
      </c>
      <c r="G4" s="82" t="inlineStr">
        <is>
          <t>Gross Profit</t>
        </is>
      </c>
      <c r="H4" s="82" t="inlineStr">
        <is>
          <t>GP%</t>
        </is>
      </c>
      <c r="I4" s="82" t="inlineStr">
        <is>
          <t>Amazon Fees</t>
        </is>
      </c>
      <c r="J4" s="82" t="inlineStr">
        <is>
          <t>PPC</t>
        </is>
      </c>
      <c r="K4" s="82" t="inlineStr">
        <is>
          <t>Fixed Costs</t>
        </is>
      </c>
      <c r="L4" s="82" t="inlineStr">
        <is>
          <t>Total OpEx</t>
        </is>
      </c>
      <c r="M4" s="82" t="inlineStr">
        <is>
          <t>Net Profit</t>
        </is>
      </c>
      <c r="N4" s="154" t="inlineStr">
        <is>
          <t>Month Num</t>
        </is>
      </c>
      <c r="O4" s="154" t="inlineStr">
        <is>
          <t>Quarter Num</t>
        </is>
      </c>
      <c r="P4" s="154" t="inlineStr">
        <is>
          <t>Period</t>
        </is>
      </c>
      <c r="Q4" s="154" t="inlineStr">
        <is>
          <t>Revenue</t>
        </is>
      </c>
      <c r="R4" s="154" t="inlineStr">
        <is>
          <t>COGS</t>
        </is>
      </c>
      <c r="S4" s="154" t="inlineStr">
        <is>
          <t>Gross Profit</t>
        </is>
      </c>
      <c r="T4" s="154" t="inlineStr">
        <is>
          <t>Amazon Fees</t>
        </is>
      </c>
      <c r="U4" s="154" t="inlineStr">
        <is>
          <t>PPC</t>
        </is>
      </c>
      <c r="V4" s="154" t="inlineStr">
        <is>
          <t>Fixed Costs</t>
        </is>
      </c>
      <c r="W4" s="154" t="inlineStr">
        <is>
          <t>Total OpEx</t>
        </is>
      </c>
      <c r="X4" s="154" t="inlineStr">
        <is>
          <t>Net Profit</t>
        </is>
      </c>
    </row>
    <row r="5" ht="19.5" customHeight="1" s="58">
      <c r="B5" s="83" t="n">
        <v>1</v>
      </c>
      <c r="C5" s="84" t="n">
        <v>45663</v>
      </c>
      <c r="D5" s="85">
        <f>'3. Sales Planning'!F6+'3. Sales Planning'!L6+'3. Sales Planning'!R6+'3. Sales Planning'!X6</f>
        <v/>
      </c>
      <c r="E5" s="96">
        <f>'3. Sales Planning'!F6*'1. Product Setup'!C5+'3. Sales Planning'!L6*'1. Product Setup'!C6+'3. Sales Planning'!R6*'1. Product Setup'!C7+'3. Sales Planning'!X6*'1. Product Setup'!C8</f>
        <v/>
      </c>
      <c r="F5" s="96">
        <f>'3. Sales Planning'!F6*('1. Product Setup'!D5+'1. Product Setup'!E5+'1. Product Setup'!D5*'1. Product Setup'!F5)+'3. Sales Planning'!L6*('1. Product Setup'!D6+'1. Product Setup'!E6+'1. Product Setup'!D6*'1. Product Setup'!F6)+'3. Sales Planning'!R6*('1. Product Setup'!D7+'1. Product Setup'!E7+'1. Product Setup'!D7*'1. Product Setup'!F7)+'3. Sales Planning'!X6*('1. Product Setup'!D8+'1. Product Setup'!E8+'1. Product Setup'!D8*'1. Product Setup'!F8)</f>
        <v/>
      </c>
      <c r="G5" s="97">
        <f>E5-F5</f>
        <v/>
      </c>
      <c r="H5" s="98">
        <f>IF(E5=0,0,G5/E5)</f>
        <v/>
      </c>
      <c r="I5" s="96">
        <f>E5*0.15+'3. Sales Planning'!F6*'1. Product Setup'!H5+'3. Sales Planning'!L6*'1. Product Setup'!H6+'3. Sales Planning'!R6*'1. Product Setup'!H7+'3. Sales Planning'!X6*'1. Product Setup'!H8</f>
        <v/>
      </c>
      <c r="J5" s="96">
        <f>'3. Sales Planning'!F6*'1. Product Setup'!C5*'1. Product Setup'!G5+'3. Sales Planning'!L6*'1. Product Setup'!C6*'1. Product Setup'!G6+'3. Sales Planning'!R6*'1. Product Setup'!C7*'1. Product Setup'!G7+'3. Sales Planning'!X6*'1. Product Setup'!C8*'1. Product Setup'!G8</f>
        <v/>
      </c>
      <c r="K5" s="96">
        <f>'1. Product Setup'!C21</f>
        <v/>
      </c>
      <c r="L5" s="96">
        <f>I5+J5+K5</f>
        <v/>
      </c>
      <c r="M5" s="97">
        <f>G5-L5</f>
        <v/>
      </c>
      <c r="N5" s="162">
        <f>IF($B5="","",MONTH($B5))</f>
        <v/>
      </c>
      <c r="O5" s="162">
        <f>IF($B5="","",ROUNDUP(MONTH($B5)/3,0))</f>
        <v/>
      </c>
      <c r="P5" s="150" t="inlineStr">
        <is>
          <t>Jan</t>
        </is>
      </c>
      <c r="Q5" s="163">
        <f>SUMIFS($E$5:$E$56,$N$5:$N$56,1)</f>
        <v/>
      </c>
      <c r="R5" s="163">
        <f>SUMIFS($F$5:$F$56,$N$5:$N$56,1)</f>
        <v/>
      </c>
      <c r="S5" s="163">
        <f>SUMIFS($G$5:$G$56,$N$5:$N$56,1)</f>
        <v/>
      </c>
      <c r="T5" s="163">
        <f>SUMIFS($I$5:$I$56,$N$5:$N$56,1)</f>
        <v/>
      </c>
      <c r="U5" s="163">
        <f>SUMIFS($J$5:$J$56,$N$5:$N$56,1)</f>
        <v/>
      </c>
      <c r="V5" s="163">
        <f>SUMIFS($K$5:$K$56,$N$5:$N$56,1)</f>
        <v/>
      </c>
      <c r="W5" s="163">
        <f>T5+U5+V5</f>
        <v/>
      </c>
      <c r="X5" s="163">
        <f>S5-W5</f>
        <v/>
      </c>
    </row>
    <row r="6" ht="19.5" customHeight="1" s="58">
      <c r="B6" s="83" t="n">
        <v>2</v>
      </c>
      <c r="C6" s="84" t="n">
        <v>45670</v>
      </c>
      <c r="D6" s="85">
        <f>'3. Sales Planning'!F7+'3. Sales Planning'!L7+'3. Sales Planning'!R7+'3. Sales Planning'!X7</f>
        <v/>
      </c>
      <c r="E6" s="96">
        <f>'3. Sales Planning'!F7*'1. Product Setup'!C5+'3. Sales Planning'!L7*'1. Product Setup'!C6+'3. Sales Planning'!R7*'1. Product Setup'!C7+'3. Sales Planning'!X7*'1. Product Setup'!C8</f>
        <v/>
      </c>
      <c r="F6" s="96">
        <f>'3. Sales Planning'!F7*('1. Product Setup'!D5+'1. Product Setup'!E5+'1. Product Setup'!D5*'1. Product Setup'!F5)+'3. Sales Planning'!L7*('1. Product Setup'!D6+'1. Product Setup'!E6+'1. Product Setup'!D6*'1. Product Setup'!F6)+'3. Sales Planning'!R7*('1. Product Setup'!D7+'1. Product Setup'!E7+'1. Product Setup'!D7*'1. Product Setup'!F7)+'3. Sales Planning'!X7*('1. Product Setup'!D8+'1. Product Setup'!E8+'1. Product Setup'!D8*'1. Product Setup'!F8)</f>
        <v/>
      </c>
      <c r="G6" s="97">
        <f>E6-F6</f>
        <v/>
      </c>
      <c r="H6" s="98">
        <f>IF(E6=0,0,G6/E6)</f>
        <v/>
      </c>
      <c r="I6" s="96">
        <f>E6*0.15+'3. Sales Planning'!F7*'1. Product Setup'!H5+'3. Sales Planning'!L7*'1. Product Setup'!H6+'3. Sales Planning'!R7*'1. Product Setup'!H7+'3. Sales Planning'!X7*'1. Product Setup'!H8</f>
        <v/>
      </c>
      <c r="J6" s="96">
        <f>'3. Sales Planning'!F7*'1. Product Setup'!C5*'1. Product Setup'!G5+'3. Sales Planning'!L7*'1. Product Setup'!C6*'1. Product Setup'!G6+'3. Sales Planning'!R7*'1. Product Setup'!C7*'1. Product Setup'!G7+'3. Sales Planning'!X7*'1. Product Setup'!C8*'1. Product Setup'!G8</f>
        <v/>
      </c>
      <c r="K6" s="96">
        <f>'1. Product Setup'!C21</f>
        <v/>
      </c>
      <c r="L6" s="96">
        <f>I6+J6+K6</f>
        <v/>
      </c>
      <c r="M6" s="97">
        <f>G6-L6</f>
        <v/>
      </c>
      <c r="N6" s="162">
        <f>IF($B6="","",MONTH($B6))</f>
        <v/>
      </c>
      <c r="O6" s="162">
        <f>IF($B6="","",ROUNDUP(MONTH($B6)/3,0))</f>
        <v/>
      </c>
      <c r="P6" s="150" t="inlineStr">
        <is>
          <t>Feb</t>
        </is>
      </c>
      <c r="Q6" s="163">
        <f>SUMIFS($E$5:$E$56,$N$5:$N$56,2)</f>
        <v/>
      </c>
      <c r="R6" s="163">
        <f>SUMIFS($F$5:$F$56,$N$5:$N$56,2)</f>
        <v/>
      </c>
      <c r="S6" s="163">
        <f>SUMIFS($G$5:$G$56,$N$5:$N$56,2)</f>
        <v/>
      </c>
      <c r="T6" s="163">
        <f>SUMIFS($I$5:$I$56,$N$5:$N$56,2)</f>
        <v/>
      </c>
      <c r="U6" s="163">
        <f>SUMIFS($J$5:$J$56,$N$5:$N$56,2)</f>
        <v/>
      </c>
      <c r="V6" s="163">
        <f>SUMIFS($K$5:$K$56,$N$5:$N$56,2)</f>
        <v/>
      </c>
      <c r="W6" s="163">
        <f>T6+U6+V6</f>
        <v/>
      </c>
      <c r="X6" s="163">
        <f>S6-W6</f>
        <v/>
      </c>
    </row>
    <row r="7" ht="19.5" customHeight="1" s="58">
      <c r="B7" s="83" t="n">
        <v>3</v>
      </c>
      <c r="C7" s="84" t="n">
        <v>45677</v>
      </c>
      <c r="D7" s="85">
        <f>'3. Sales Planning'!F8+'3. Sales Planning'!L8+'3. Sales Planning'!R8+'3. Sales Planning'!X8</f>
        <v/>
      </c>
      <c r="E7" s="96">
        <f>'3. Sales Planning'!F8*'1. Product Setup'!C5+'3. Sales Planning'!L8*'1. Product Setup'!C6+'3. Sales Planning'!R8*'1. Product Setup'!C7+'3. Sales Planning'!X8*'1. Product Setup'!C8</f>
        <v/>
      </c>
      <c r="F7" s="96">
        <f>'3. Sales Planning'!F8*('1. Product Setup'!D5+'1. Product Setup'!E5+'1. Product Setup'!D5*'1. Product Setup'!F5)+'3. Sales Planning'!L8*('1. Product Setup'!D6+'1. Product Setup'!E6+'1. Product Setup'!D6*'1. Product Setup'!F6)+'3. Sales Planning'!R8*('1. Product Setup'!D7+'1. Product Setup'!E7+'1. Product Setup'!D7*'1. Product Setup'!F7)+'3. Sales Planning'!X8*('1. Product Setup'!D8+'1. Product Setup'!E8+'1. Product Setup'!D8*'1. Product Setup'!F8)</f>
        <v/>
      </c>
      <c r="G7" s="97">
        <f>E7-F7</f>
        <v/>
      </c>
      <c r="H7" s="98">
        <f>IF(E7=0,0,G7/E7)</f>
        <v/>
      </c>
      <c r="I7" s="96">
        <f>E7*0.15+'3. Sales Planning'!F8*'1. Product Setup'!H5+'3. Sales Planning'!L8*'1. Product Setup'!H6+'3. Sales Planning'!R8*'1. Product Setup'!H7+'3. Sales Planning'!X8*'1. Product Setup'!H8</f>
        <v/>
      </c>
      <c r="J7" s="96">
        <f>'3. Sales Planning'!F8*'1. Product Setup'!C5*'1. Product Setup'!G5+'3. Sales Planning'!L8*'1. Product Setup'!C6*'1. Product Setup'!G6+'3. Sales Planning'!R8*'1. Product Setup'!C7*'1. Product Setup'!G7+'3. Sales Planning'!X8*'1. Product Setup'!C8*'1. Product Setup'!G8</f>
        <v/>
      </c>
      <c r="K7" s="96">
        <f>'1. Product Setup'!C21</f>
        <v/>
      </c>
      <c r="L7" s="96">
        <f>I7+J7+K7</f>
        <v/>
      </c>
      <c r="M7" s="97">
        <f>G7-L7</f>
        <v/>
      </c>
      <c r="N7" s="162">
        <f>IF($B7="","",MONTH($B7))</f>
        <v/>
      </c>
      <c r="O7" s="162">
        <f>IF($B7="","",ROUNDUP(MONTH($B7)/3,0))</f>
        <v/>
      </c>
      <c r="P7" s="150" t="inlineStr">
        <is>
          <t>Mar</t>
        </is>
      </c>
      <c r="Q7" s="163">
        <f>SUMIFS($E$5:$E$56,$N$5:$N$56,3)</f>
        <v/>
      </c>
      <c r="R7" s="163">
        <f>SUMIFS($F$5:$F$56,$N$5:$N$56,3)</f>
        <v/>
      </c>
      <c r="S7" s="163">
        <f>SUMIFS($G$5:$G$56,$N$5:$N$56,3)</f>
        <v/>
      </c>
      <c r="T7" s="163">
        <f>SUMIFS($I$5:$I$56,$N$5:$N$56,3)</f>
        <v/>
      </c>
      <c r="U7" s="163">
        <f>SUMIFS($J$5:$J$56,$N$5:$N$56,3)</f>
        <v/>
      </c>
      <c r="V7" s="163">
        <f>SUMIFS($K$5:$K$56,$N$5:$N$56,3)</f>
        <v/>
      </c>
      <c r="W7" s="163">
        <f>T7+U7+V7</f>
        <v/>
      </c>
      <c r="X7" s="163">
        <f>S7-W7</f>
        <v/>
      </c>
    </row>
    <row r="8" ht="19.5" customHeight="1" s="58">
      <c r="B8" s="83" t="n">
        <v>4</v>
      </c>
      <c r="C8" s="84" t="n">
        <v>45684</v>
      </c>
      <c r="D8" s="85">
        <f>'3. Sales Planning'!F9+'3. Sales Planning'!L9+'3. Sales Planning'!R9+'3. Sales Planning'!X9</f>
        <v/>
      </c>
      <c r="E8" s="96">
        <f>'3. Sales Planning'!F9*'1. Product Setup'!C5+'3. Sales Planning'!L9*'1. Product Setup'!C6+'3. Sales Planning'!R9*'1. Product Setup'!C7+'3. Sales Planning'!X9*'1. Product Setup'!C8</f>
        <v/>
      </c>
      <c r="F8" s="96">
        <f>'3. Sales Planning'!F9*('1. Product Setup'!D5+'1. Product Setup'!E5+'1. Product Setup'!D5*'1. Product Setup'!F5)+'3. Sales Planning'!L9*('1. Product Setup'!D6+'1. Product Setup'!E6+'1. Product Setup'!D6*'1. Product Setup'!F6)+'3. Sales Planning'!R9*('1. Product Setup'!D7+'1. Product Setup'!E7+'1. Product Setup'!D7*'1. Product Setup'!F7)+'3. Sales Planning'!X9*('1. Product Setup'!D8+'1. Product Setup'!E8+'1. Product Setup'!D8*'1. Product Setup'!F8)</f>
        <v/>
      </c>
      <c r="G8" s="97">
        <f>E8-F8</f>
        <v/>
      </c>
      <c r="H8" s="98">
        <f>IF(E8=0,0,G8/E8)</f>
        <v/>
      </c>
      <c r="I8" s="96">
        <f>E8*0.15+'3. Sales Planning'!F9*'1. Product Setup'!H5+'3. Sales Planning'!L9*'1. Product Setup'!H6+'3. Sales Planning'!R9*'1. Product Setup'!H7+'3. Sales Planning'!X9*'1. Product Setup'!H8</f>
        <v/>
      </c>
      <c r="J8" s="96">
        <f>'3. Sales Planning'!F9*'1. Product Setup'!C5*'1. Product Setup'!G5+'3. Sales Planning'!L9*'1. Product Setup'!C6*'1. Product Setup'!G6+'3. Sales Planning'!R9*'1. Product Setup'!C7*'1. Product Setup'!G7+'3. Sales Planning'!X9*'1. Product Setup'!C8*'1. Product Setup'!G8</f>
        <v/>
      </c>
      <c r="K8" s="96">
        <f>'1. Product Setup'!C21</f>
        <v/>
      </c>
      <c r="L8" s="96">
        <f>I8+J8+K8</f>
        <v/>
      </c>
      <c r="M8" s="97">
        <f>G8-L8</f>
        <v/>
      </c>
      <c r="N8" s="162">
        <f>IF($B8="","",MONTH($B8))</f>
        <v/>
      </c>
      <c r="O8" s="162">
        <f>IF($B8="","",ROUNDUP(MONTH($B8)/3,0))</f>
        <v/>
      </c>
      <c r="P8" s="150" t="inlineStr">
        <is>
          <t>Apr</t>
        </is>
      </c>
      <c r="Q8" s="163">
        <f>SUMIFS($E$5:$E$56,$N$5:$N$56,4)</f>
        <v/>
      </c>
      <c r="R8" s="163">
        <f>SUMIFS($F$5:$F$56,$N$5:$N$56,4)</f>
        <v/>
      </c>
      <c r="S8" s="163">
        <f>SUMIFS($G$5:$G$56,$N$5:$N$56,4)</f>
        <v/>
      </c>
      <c r="T8" s="163">
        <f>SUMIFS($I$5:$I$56,$N$5:$N$56,4)</f>
        <v/>
      </c>
      <c r="U8" s="163">
        <f>SUMIFS($J$5:$J$56,$N$5:$N$56,4)</f>
        <v/>
      </c>
      <c r="V8" s="163">
        <f>SUMIFS($K$5:$K$56,$N$5:$N$56,4)</f>
        <v/>
      </c>
      <c r="W8" s="163">
        <f>T8+U8+V8</f>
        <v/>
      </c>
      <c r="X8" s="163">
        <f>S8-W8</f>
        <v/>
      </c>
    </row>
    <row r="9" ht="19.5" customHeight="1" s="58">
      <c r="B9" s="83" t="n">
        <v>5</v>
      </c>
      <c r="C9" s="84" t="n">
        <v>45691</v>
      </c>
      <c r="D9" s="85">
        <f>'3. Sales Planning'!F10+'3. Sales Planning'!L10+'3. Sales Planning'!R10+'3. Sales Planning'!X10</f>
        <v/>
      </c>
      <c r="E9" s="96">
        <f>'3. Sales Planning'!F10*'1. Product Setup'!C5+'3. Sales Planning'!L10*'1. Product Setup'!C6+'3. Sales Planning'!R10*'1. Product Setup'!C7+'3. Sales Planning'!X10*'1. Product Setup'!C8</f>
        <v/>
      </c>
      <c r="F9" s="96">
        <f>'3. Sales Planning'!F10*('1. Product Setup'!D5+'1. Product Setup'!E5+'1. Product Setup'!D5*'1. Product Setup'!F5)+'3. Sales Planning'!L10*('1. Product Setup'!D6+'1. Product Setup'!E6+'1. Product Setup'!D6*'1. Product Setup'!F6)+'3. Sales Planning'!R10*('1. Product Setup'!D7+'1. Product Setup'!E7+'1. Product Setup'!D7*'1. Product Setup'!F7)+'3. Sales Planning'!X10*('1. Product Setup'!D8+'1. Product Setup'!E8+'1. Product Setup'!D8*'1. Product Setup'!F8)</f>
        <v/>
      </c>
      <c r="G9" s="97">
        <f>E9-F9</f>
        <v/>
      </c>
      <c r="H9" s="98">
        <f>IF(E9=0,0,G9/E9)</f>
        <v/>
      </c>
      <c r="I9" s="96">
        <f>E9*0.15+'3. Sales Planning'!F10*'1. Product Setup'!H5+'3. Sales Planning'!L10*'1. Product Setup'!H6+'3. Sales Planning'!R10*'1. Product Setup'!H7+'3. Sales Planning'!X10*'1. Product Setup'!H8</f>
        <v/>
      </c>
      <c r="J9" s="96">
        <f>'3. Sales Planning'!F10*'1. Product Setup'!C5*'1. Product Setup'!G5+'3. Sales Planning'!L10*'1. Product Setup'!C6*'1. Product Setup'!G6+'3. Sales Planning'!R10*'1. Product Setup'!C7*'1. Product Setup'!G7+'3. Sales Planning'!X10*'1. Product Setup'!C8*'1. Product Setup'!G8</f>
        <v/>
      </c>
      <c r="K9" s="96">
        <f>'1. Product Setup'!C21</f>
        <v/>
      </c>
      <c r="L9" s="96">
        <f>I9+J9+K9</f>
        <v/>
      </c>
      <c r="M9" s="97">
        <f>G9-L9</f>
        <v/>
      </c>
      <c r="N9" s="162">
        <f>IF($B9="","",MONTH($B9))</f>
        <v/>
      </c>
      <c r="O9" s="162">
        <f>IF($B9="","",ROUNDUP(MONTH($B9)/3,0))</f>
        <v/>
      </c>
      <c r="P9" s="150" t="inlineStr">
        <is>
          <t>May</t>
        </is>
      </c>
      <c r="Q9" s="163">
        <f>SUMIFS($E$5:$E$56,$N$5:$N$56,5)</f>
        <v/>
      </c>
      <c r="R9" s="163">
        <f>SUMIFS($F$5:$F$56,$N$5:$N$56,5)</f>
        <v/>
      </c>
      <c r="S9" s="163">
        <f>SUMIFS($G$5:$G$56,$N$5:$N$56,5)</f>
        <v/>
      </c>
      <c r="T9" s="163">
        <f>SUMIFS($I$5:$I$56,$N$5:$N$56,5)</f>
        <v/>
      </c>
      <c r="U9" s="163">
        <f>SUMIFS($J$5:$J$56,$N$5:$N$56,5)</f>
        <v/>
      </c>
      <c r="V9" s="163">
        <f>SUMIFS($K$5:$K$56,$N$5:$N$56,5)</f>
        <v/>
      </c>
      <c r="W9" s="163">
        <f>T9+U9+V9</f>
        <v/>
      </c>
      <c r="X9" s="163">
        <f>S9-W9</f>
        <v/>
      </c>
    </row>
    <row r="10" ht="19.5" customHeight="1" s="58">
      <c r="B10" s="83" t="n">
        <v>6</v>
      </c>
      <c r="C10" s="84" t="n">
        <v>45698</v>
      </c>
      <c r="D10" s="85">
        <f>'3. Sales Planning'!F11+'3. Sales Planning'!L11+'3. Sales Planning'!R11+'3. Sales Planning'!X11</f>
        <v/>
      </c>
      <c r="E10" s="96">
        <f>'3. Sales Planning'!F11*'1. Product Setup'!C5+'3. Sales Planning'!L11*'1. Product Setup'!C6+'3. Sales Planning'!R11*'1. Product Setup'!C7+'3. Sales Planning'!X11*'1. Product Setup'!C8</f>
        <v/>
      </c>
      <c r="F10" s="96">
        <f>'3. Sales Planning'!F11*('1. Product Setup'!D5+'1. Product Setup'!E5+'1. Product Setup'!D5*'1. Product Setup'!F5)+'3. Sales Planning'!L11*('1. Product Setup'!D6+'1. Product Setup'!E6+'1. Product Setup'!D6*'1. Product Setup'!F6)+'3. Sales Planning'!R11*('1. Product Setup'!D7+'1. Product Setup'!E7+'1. Product Setup'!D7*'1. Product Setup'!F7)+'3. Sales Planning'!X11*('1. Product Setup'!D8+'1. Product Setup'!E8+'1. Product Setup'!D8*'1. Product Setup'!F8)</f>
        <v/>
      </c>
      <c r="G10" s="97">
        <f>E10-F10</f>
        <v/>
      </c>
      <c r="H10" s="98">
        <f>IF(E10=0,0,G10/E10)</f>
        <v/>
      </c>
      <c r="I10" s="96">
        <f>E10*0.15+'3. Sales Planning'!F11*'1. Product Setup'!H5+'3. Sales Planning'!L11*'1. Product Setup'!H6+'3. Sales Planning'!R11*'1. Product Setup'!H7+'3. Sales Planning'!X11*'1. Product Setup'!H8</f>
        <v/>
      </c>
      <c r="J10" s="96">
        <f>'3. Sales Planning'!F11*'1. Product Setup'!C5*'1. Product Setup'!G5+'3. Sales Planning'!L11*'1. Product Setup'!C6*'1. Product Setup'!G6+'3. Sales Planning'!R11*'1. Product Setup'!C7*'1. Product Setup'!G7+'3. Sales Planning'!X11*'1. Product Setup'!C8*'1. Product Setup'!G8</f>
        <v/>
      </c>
      <c r="K10" s="96">
        <f>'1. Product Setup'!C21</f>
        <v/>
      </c>
      <c r="L10" s="96">
        <f>I10+J10+K10</f>
        <v/>
      </c>
      <c r="M10" s="97">
        <f>G10-L10</f>
        <v/>
      </c>
      <c r="N10" s="162">
        <f>IF($B10="","",MONTH($B10))</f>
        <v/>
      </c>
      <c r="O10" s="162">
        <f>IF($B10="","",ROUNDUP(MONTH($B10)/3,0))</f>
        <v/>
      </c>
      <c r="P10" s="150" t="inlineStr">
        <is>
          <t>Jun</t>
        </is>
      </c>
      <c r="Q10" s="163">
        <f>SUMIFS($E$5:$E$56,$N$5:$N$56,6)</f>
        <v/>
      </c>
      <c r="R10" s="163">
        <f>SUMIFS($F$5:$F$56,$N$5:$N$56,6)</f>
        <v/>
      </c>
      <c r="S10" s="163">
        <f>SUMIFS($G$5:$G$56,$N$5:$N$56,6)</f>
        <v/>
      </c>
      <c r="T10" s="163">
        <f>SUMIFS($I$5:$I$56,$N$5:$N$56,6)</f>
        <v/>
      </c>
      <c r="U10" s="163">
        <f>SUMIFS($J$5:$J$56,$N$5:$N$56,6)</f>
        <v/>
      </c>
      <c r="V10" s="163">
        <f>SUMIFS($K$5:$K$56,$N$5:$N$56,6)</f>
        <v/>
      </c>
      <c r="W10" s="163">
        <f>T10+U10+V10</f>
        <v/>
      </c>
      <c r="X10" s="163">
        <f>S10-W10</f>
        <v/>
      </c>
    </row>
    <row r="11" ht="19.5" customHeight="1" s="58">
      <c r="B11" s="83" t="n">
        <v>7</v>
      </c>
      <c r="C11" s="84" t="n">
        <v>45705</v>
      </c>
      <c r="D11" s="85">
        <f>'3. Sales Planning'!F12+'3. Sales Planning'!L12+'3. Sales Planning'!R12+'3. Sales Planning'!X12</f>
        <v/>
      </c>
      <c r="E11" s="96">
        <f>'3. Sales Planning'!F12*'1. Product Setup'!C5+'3. Sales Planning'!L12*'1. Product Setup'!C6+'3. Sales Planning'!R12*'1. Product Setup'!C7+'3. Sales Planning'!X12*'1. Product Setup'!C8</f>
        <v/>
      </c>
      <c r="F11" s="96">
        <f>'3. Sales Planning'!F12*('1. Product Setup'!D5+'1. Product Setup'!E5+'1. Product Setup'!D5*'1. Product Setup'!F5)+'3. Sales Planning'!L12*('1. Product Setup'!D6+'1. Product Setup'!E6+'1. Product Setup'!D6*'1. Product Setup'!F6)+'3. Sales Planning'!R12*('1. Product Setup'!D7+'1. Product Setup'!E7+'1. Product Setup'!D7*'1. Product Setup'!F7)+'3. Sales Planning'!X12*('1. Product Setup'!D8+'1. Product Setup'!E8+'1. Product Setup'!D8*'1. Product Setup'!F8)</f>
        <v/>
      </c>
      <c r="G11" s="97">
        <f>E11-F11</f>
        <v/>
      </c>
      <c r="H11" s="98">
        <f>IF(E11=0,0,G11/E11)</f>
        <v/>
      </c>
      <c r="I11" s="96">
        <f>E11*0.15+'3. Sales Planning'!F12*'1. Product Setup'!H5+'3. Sales Planning'!L12*'1. Product Setup'!H6+'3. Sales Planning'!R12*'1. Product Setup'!H7+'3. Sales Planning'!X12*'1. Product Setup'!H8</f>
        <v/>
      </c>
      <c r="J11" s="96">
        <f>'3. Sales Planning'!F12*'1. Product Setup'!C5*'1. Product Setup'!G5+'3. Sales Planning'!L12*'1. Product Setup'!C6*'1. Product Setup'!G6+'3. Sales Planning'!R12*'1. Product Setup'!C7*'1. Product Setup'!G7+'3. Sales Planning'!X12*'1. Product Setup'!C8*'1. Product Setup'!G8</f>
        <v/>
      </c>
      <c r="K11" s="96">
        <f>'1. Product Setup'!C21</f>
        <v/>
      </c>
      <c r="L11" s="96">
        <f>I11+J11+K11</f>
        <v/>
      </c>
      <c r="M11" s="97">
        <f>G11-L11</f>
        <v/>
      </c>
      <c r="N11" s="162">
        <f>IF($B11="","",MONTH($B11))</f>
        <v/>
      </c>
      <c r="O11" s="162">
        <f>IF($B11="","",ROUNDUP(MONTH($B11)/3,0))</f>
        <v/>
      </c>
      <c r="P11" s="150" t="inlineStr">
        <is>
          <t>Jul</t>
        </is>
      </c>
      <c r="Q11" s="163">
        <f>SUMIFS($E$5:$E$56,$N$5:$N$56,7)</f>
        <v/>
      </c>
      <c r="R11" s="163">
        <f>SUMIFS($F$5:$F$56,$N$5:$N$56,7)</f>
        <v/>
      </c>
      <c r="S11" s="163">
        <f>SUMIFS($G$5:$G$56,$N$5:$N$56,7)</f>
        <v/>
      </c>
      <c r="T11" s="163">
        <f>SUMIFS($I$5:$I$56,$N$5:$N$56,7)</f>
        <v/>
      </c>
      <c r="U11" s="163">
        <f>SUMIFS($J$5:$J$56,$N$5:$N$56,7)</f>
        <v/>
      </c>
      <c r="V11" s="163">
        <f>SUMIFS($K$5:$K$56,$N$5:$N$56,7)</f>
        <v/>
      </c>
      <c r="W11" s="163">
        <f>T11+U11+V11</f>
        <v/>
      </c>
      <c r="X11" s="163">
        <f>S11-W11</f>
        <v/>
      </c>
    </row>
    <row r="12" ht="19.5" customHeight="1" s="58">
      <c r="B12" s="83" t="n">
        <v>8</v>
      </c>
      <c r="C12" s="84" t="n">
        <v>45712</v>
      </c>
      <c r="D12" s="85">
        <f>'3. Sales Planning'!F13+'3. Sales Planning'!L13+'3. Sales Planning'!R13+'3. Sales Planning'!X13</f>
        <v/>
      </c>
      <c r="E12" s="96">
        <f>'3. Sales Planning'!F13*'1. Product Setup'!C5+'3. Sales Planning'!L13*'1. Product Setup'!C6+'3. Sales Planning'!R13*'1. Product Setup'!C7+'3. Sales Planning'!X13*'1. Product Setup'!C8</f>
        <v/>
      </c>
      <c r="F12" s="96">
        <f>'3. Sales Planning'!F13*('1. Product Setup'!D5+'1. Product Setup'!E5+'1. Product Setup'!D5*'1. Product Setup'!F5)+'3. Sales Planning'!L13*('1. Product Setup'!D6+'1. Product Setup'!E6+'1. Product Setup'!D6*'1. Product Setup'!F6)+'3. Sales Planning'!R13*('1. Product Setup'!D7+'1. Product Setup'!E7+'1. Product Setup'!D7*'1. Product Setup'!F7)+'3. Sales Planning'!X13*('1. Product Setup'!D8+'1. Product Setup'!E8+'1. Product Setup'!D8*'1. Product Setup'!F8)</f>
        <v/>
      </c>
      <c r="G12" s="97">
        <f>E12-F12</f>
        <v/>
      </c>
      <c r="H12" s="98">
        <f>IF(E12=0,0,G12/E12)</f>
        <v/>
      </c>
      <c r="I12" s="96">
        <f>E12*0.15+'3. Sales Planning'!F13*'1. Product Setup'!H5+'3. Sales Planning'!L13*'1. Product Setup'!H6+'3. Sales Planning'!R13*'1. Product Setup'!H7+'3. Sales Planning'!X13*'1. Product Setup'!H8</f>
        <v/>
      </c>
      <c r="J12" s="96">
        <f>'3. Sales Planning'!F13*'1. Product Setup'!C5*'1. Product Setup'!G5+'3. Sales Planning'!L13*'1. Product Setup'!C6*'1. Product Setup'!G6+'3. Sales Planning'!R13*'1. Product Setup'!C7*'1. Product Setup'!G7+'3. Sales Planning'!X13*'1. Product Setup'!C8*'1. Product Setup'!G8</f>
        <v/>
      </c>
      <c r="K12" s="96">
        <f>'1. Product Setup'!C21</f>
        <v/>
      </c>
      <c r="L12" s="96">
        <f>I12+J12+K12</f>
        <v/>
      </c>
      <c r="M12" s="97">
        <f>G12-L12</f>
        <v/>
      </c>
      <c r="N12" s="162">
        <f>IF($B12="","",MONTH($B12))</f>
        <v/>
      </c>
      <c r="O12" s="162">
        <f>IF($B12="","",ROUNDUP(MONTH($B12)/3,0))</f>
        <v/>
      </c>
      <c r="P12" s="150" t="inlineStr">
        <is>
          <t>Aug</t>
        </is>
      </c>
      <c r="Q12" s="163">
        <f>SUMIFS($E$5:$E$56,$N$5:$N$56,8)</f>
        <v/>
      </c>
      <c r="R12" s="163">
        <f>SUMIFS($F$5:$F$56,$N$5:$N$56,8)</f>
        <v/>
      </c>
      <c r="S12" s="163">
        <f>SUMIFS($G$5:$G$56,$N$5:$N$56,8)</f>
        <v/>
      </c>
      <c r="T12" s="163">
        <f>SUMIFS($I$5:$I$56,$N$5:$N$56,8)</f>
        <v/>
      </c>
      <c r="U12" s="163">
        <f>SUMIFS($J$5:$J$56,$N$5:$N$56,8)</f>
        <v/>
      </c>
      <c r="V12" s="163">
        <f>SUMIFS($K$5:$K$56,$N$5:$N$56,8)</f>
        <v/>
      </c>
      <c r="W12" s="163">
        <f>T12+U12+V12</f>
        <v/>
      </c>
      <c r="X12" s="163">
        <f>S12-W12</f>
        <v/>
      </c>
    </row>
    <row r="13" ht="19.5" customHeight="1" s="58">
      <c r="B13" s="83" t="n">
        <v>9</v>
      </c>
      <c r="C13" s="84" t="n">
        <v>45719</v>
      </c>
      <c r="D13" s="85">
        <f>'3. Sales Planning'!F14+'3. Sales Planning'!L14+'3. Sales Planning'!R14+'3. Sales Planning'!X14</f>
        <v/>
      </c>
      <c r="E13" s="96">
        <f>'3. Sales Planning'!F14*'1. Product Setup'!C5+'3. Sales Planning'!L14*'1. Product Setup'!C6+'3. Sales Planning'!R14*'1. Product Setup'!C7+'3. Sales Planning'!X14*'1. Product Setup'!C8</f>
        <v/>
      </c>
      <c r="F13" s="96">
        <f>'3. Sales Planning'!F14*('1. Product Setup'!D5+'1. Product Setup'!E5+'1. Product Setup'!D5*'1. Product Setup'!F5)+'3. Sales Planning'!L14*('1. Product Setup'!D6+'1. Product Setup'!E6+'1. Product Setup'!D6*'1. Product Setup'!F6)+'3. Sales Planning'!R14*('1. Product Setup'!D7+'1. Product Setup'!E7+'1. Product Setup'!D7*'1. Product Setup'!F7)+'3. Sales Planning'!X14*('1. Product Setup'!D8+'1. Product Setup'!E8+'1. Product Setup'!D8*'1. Product Setup'!F8)</f>
        <v/>
      </c>
      <c r="G13" s="97">
        <f>E13-F13</f>
        <v/>
      </c>
      <c r="H13" s="98">
        <f>IF(E13=0,0,G13/E13)</f>
        <v/>
      </c>
      <c r="I13" s="96">
        <f>E13*0.15+'3. Sales Planning'!F14*'1. Product Setup'!H5+'3. Sales Planning'!L14*'1. Product Setup'!H6+'3. Sales Planning'!R14*'1. Product Setup'!H7+'3. Sales Planning'!X14*'1. Product Setup'!H8</f>
        <v/>
      </c>
      <c r="J13" s="96">
        <f>'3. Sales Planning'!F14*'1. Product Setup'!C5*'1. Product Setup'!G5+'3. Sales Planning'!L14*'1. Product Setup'!C6*'1. Product Setup'!G6+'3. Sales Planning'!R14*'1. Product Setup'!C7*'1. Product Setup'!G7+'3. Sales Planning'!X14*'1. Product Setup'!C8*'1. Product Setup'!G8</f>
        <v/>
      </c>
      <c r="K13" s="96">
        <f>'1. Product Setup'!C21</f>
        <v/>
      </c>
      <c r="L13" s="96">
        <f>I13+J13+K13</f>
        <v/>
      </c>
      <c r="M13" s="97">
        <f>G13-L13</f>
        <v/>
      </c>
      <c r="N13" s="162">
        <f>IF($B13="","",MONTH($B13))</f>
        <v/>
      </c>
      <c r="O13" s="162">
        <f>IF($B13="","",ROUNDUP(MONTH($B13)/3,0))</f>
        <v/>
      </c>
      <c r="P13" s="150" t="inlineStr">
        <is>
          <t>Sep</t>
        </is>
      </c>
      <c r="Q13" s="163">
        <f>SUMIFS($E$5:$E$56,$N$5:$N$56,9)</f>
        <v/>
      </c>
      <c r="R13" s="163">
        <f>SUMIFS($F$5:$F$56,$N$5:$N$56,9)</f>
        <v/>
      </c>
      <c r="S13" s="163">
        <f>SUMIFS($G$5:$G$56,$N$5:$N$56,9)</f>
        <v/>
      </c>
      <c r="T13" s="163">
        <f>SUMIFS($I$5:$I$56,$N$5:$N$56,9)</f>
        <v/>
      </c>
      <c r="U13" s="163">
        <f>SUMIFS($J$5:$J$56,$N$5:$N$56,9)</f>
        <v/>
      </c>
      <c r="V13" s="163">
        <f>SUMIFS($K$5:$K$56,$N$5:$N$56,9)</f>
        <v/>
      </c>
      <c r="W13" s="163">
        <f>T13+U13+V13</f>
        <v/>
      </c>
      <c r="X13" s="163">
        <f>S13-W13</f>
        <v/>
      </c>
    </row>
    <row r="14" ht="19.5" customHeight="1" s="58">
      <c r="B14" s="83" t="n">
        <v>10</v>
      </c>
      <c r="C14" s="84" t="n">
        <v>45726</v>
      </c>
      <c r="D14" s="85">
        <f>'3. Sales Planning'!F15+'3. Sales Planning'!L15+'3. Sales Planning'!R15+'3. Sales Planning'!X15</f>
        <v/>
      </c>
      <c r="E14" s="96">
        <f>'3. Sales Planning'!F15*'1. Product Setup'!C5+'3. Sales Planning'!L15*'1. Product Setup'!C6+'3. Sales Planning'!R15*'1. Product Setup'!C7+'3. Sales Planning'!X15*'1. Product Setup'!C8</f>
        <v/>
      </c>
      <c r="F14" s="96">
        <f>'3. Sales Planning'!F15*('1. Product Setup'!D5+'1. Product Setup'!E5+'1. Product Setup'!D5*'1. Product Setup'!F5)+'3. Sales Planning'!L15*('1. Product Setup'!D6+'1. Product Setup'!E6+'1. Product Setup'!D6*'1. Product Setup'!F6)+'3. Sales Planning'!R15*('1. Product Setup'!D7+'1. Product Setup'!E7+'1. Product Setup'!D7*'1. Product Setup'!F7)+'3. Sales Planning'!X15*('1. Product Setup'!D8+'1. Product Setup'!E8+'1. Product Setup'!D8*'1. Product Setup'!F8)</f>
        <v/>
      </c>
      <c r="G14" s="97">
        <f>E14-F14</f>
        <v/>
      </c>
      <c r="H14" s="98">
        <f>IF(E14=0,0,G14/E14)</f>
        <v/>
      </c>
      <c r="I14" s="96">
        <f>E14*0.15+'3. Sales Planning'!F15*'1. Product Setup'!H5+'3. Sales Planning'!L15*'1. Product Setup'!H6+'3. Sales Planning'!R15*'1. Product Setup'!H7+'3. Sales Planning'!X15*'1. Product Setup'!H8</f>
        <v/>
      </c>
      <c r="J14" s="96">
        <f>'3. Sales Planning'!F15*'1. Product Setup'!C5*'1. Product Setup'!G5+'3. Sales Planning'!L15*'1. Product Setup'!C6*'1. Product Setup'!G6+'3. Sales Planning'!R15*'1. Product Setup'!C7*'1. Product Setup'!G7+'3. Sales Planning'!X15*'1. Product Setup'!C8*'1. Product Setup'!G8</f>
        <v/>
      </c>
      <c r="K14" s="96">
        <f>'1. Product Setup'!C21</f>
        <v/>
      </c>
      <c r="L14" s="96">
        <f>I14+J14+K14</f>
        <v/>
      </c>
      <c r="M14" s="97">
        <f>G14-L14</f>
        <v/>
      </c>
      <c r="N14" s="162">
        <f>IF($B14="","",MONTH($B14))</f>
        <v/>
      </c>
      <c r="O14" s="162">
        <f>IF($B14="","",ROUNDUP(MONTH($B14)/3,0))</f>
        <v/>
      </c>
      <c r="P14" s="150" t="inlineStr">
        <is>
          <t>Oct</t>
        </is>
      </c>
      <c r="Q14" s="163">
        <f>SUMIFS($E$5:$E$56,$N$5:$N$56,10)</f>
        <v/>
      </c>
      <c r="R14" s="163">
        <f>SUMIFS($F$5:$F$56,$N$5:$N$56,10)</f>
        <v/>
      </c>
      <c r="S14" s="163">
        <f>SUMIFS($G$5:$G$56,$N$5:$N$56,10)</f>
        <v/>
      </c>
      <c r="T14" s="163">
        <f>SUMIFS($I$5:$I$56,$N$5:$N$56,10)</f>
        <v/>
      </c>
      <c r="U14" s="163">
        <f>SUMIFS($J$5:$J$56,$N$5:$N$56,10)</f>
        <v/>
      </c>
      <c r="V14" s="163">
        <f>SUMIFS($K$5:$K$56,$N$5:$N$56,10)</f>
        <v/>
      </c>
      <c r="W14" s="163">
        <f>T14+U14+V14</f>
        <v/>
      </c>
      <c r="X14" s="163">
        <f>S14-W14</f>
        <v/>
      </c>
    </row>
    <row r="15" ht="19.5" customHeight="1" s="58">
      <c r="B15" s="83" t="n">
        <v>11</v>
      </c>
      <c r="C15" s="84" t="n">
        <v>45733</v>
      </c>
      <c r="D15" s="85">
        <f>'3. Sales Planning'!F16+'3. Sales Planning'!L16+'3. Sales Planning'!R16+'3. Sales Planning'!X16</f>
        <v/>
      </c>
      <c r="E15" s="96">
        <f>'3. Sales Planning'!F16*'1. Product Setup'!C5+'3. Sales Planning'!L16*'1. Product Setup'!C6+'3. Sales Planning'!R16*'1. Product Setup'!C7+'3. Sales Planning'!X16*'1. Product Setup'!C8</f>
        <v/>
      </c>
      <c r="F15" s="96">
        <f>'3. Sales Planning'!F16*('1. Product Setup'!D5+'1. Product Setup'!E5+'1. Product Setup'!D5*'1. Product Setup'!F5)+'3. Sales Planning'!L16*('1. Product Setup'!D6+'1. Product Setup'!E6+'1. Product Setup'!D6*'1. Product Setup'!F6)+'3. Sales Planning'!R16*('1. Product Setup'!D7+'1. Product Setup'!E7+'1. Product Setup'!D7*'1. Product Setup'!F7)+'3. Sales Planning'!X16*('1. Product Setup'!D8+'1. Product Setup'!E8+'1. Product Setup'!D8*'1. Product Setup'!F8)</f>
        <v/>
      </c>
      <c r="G15" s="97">
        <f>E15-F15</f>
        <v/>
      </c>
      <c r="H15" s="98">
        <f>IF(E15=0,0,G15/E15)</f>
        <v/>
      </c>
      <c r="I15" s="96">
        <f>E15*0.15+'3. Sales Planning'!F16*'1. Product Setup'!H5+'3. Sales Planning'!L16*'1. Product Setup'!H6+'3. Sales Planning'!R16*'1. Product Setup'!H7+'3. Sales Planning'!X16*'1. Product Setup'!H8</f>
        <v/>
      </c>
      <c r="J15" s="96">
        <f>'3. Sales Planning'!F16*'1. Product Setup'!C5*'1. Product Setup'!G5+'3. Sales Planning'!L16*'1. Product Setup'!C6*'1. Product Setup'!G6+'3. Sales Planning'!R16*'1. Product Setup'!C7*'1. Product Setup'!G7+'3. Sales Planning'!X16*'1. Product Setup'!C8*'1. Product Setup'!G8</f>
        <v/>
      </c>
      <c r="K15" s="96">
        <f>'1. Product Setup'!C21</f>
        <v/>
      </c>
      <c r="L15" s="96">
        <f>I15+J15+K15</f>
        <v/>
      </c>
      <c r="M15" s="97">
        <f>G15-L15</f>
        <v/>
      </c>
      <c r="N15" s="162">
        <f>IF($B15="","",MONTH($B15))</f>
        <v/>
      </c>
      <c r="O15" s="162">
        <f>IF($B15="","",ROUNDUP(MONTH($B15)/3,0))</f>
        <v/>
      </c>
      <c r="P15" s="150" t="inlineStr">
        <is>
          <t>Nov</t>
        </is>
      </c>
      <c r="Q15" s="163">
        <f>SUMIFS($E$5:$E$56,$N$5:$N$56,11)</f>
        <v/>
      </c>
      <c r="R15" s="163">
        <f>SUMIFS($F$5:$F$56,$N$5:$N$56,11)</f>
        <v/>
      </c>
      <c r="S15" s="163">
        <f>SUMIFS($G$5:$G$56,$N$5:$N$56,11)</f>
        <v/>
      </c>
      <c r="T15" s="163">
        <f>SUMIFS($I$5:$I$56,$N$5:$N$56,11)</f>
        <v/>
      </c>
      <c r="U15" s="163">
        <f>SUMIFS($J$5:$J$56,$N$5:$N$56,11)</f>
        <v/>
      </c>
      <c r="V15" s="163">
        <f>SUMIFS($K$5:$K$56,$N$5:$N$56,11)</f>
        <v/>
      </c>
      <c r="W15" s="163">
        <f>T15+U15+V15</f>
        <v/>
      </c>
      <c r="X15" s="163">
        <f>S15-W15</f>
        <v/>
      </c>
    </row>
    <row r="16" ht="19.5" customHeight="1" s="58">
      <c r="B16" s="83" t="n">
        <v>12</v>
      </c>
      <c r="C16" s="84" t="n">
        <v>45740</v>
      </c>
      <c r="D16" s="85">
        <f>'3. Sales Planning'!F17+'3. Sales Planning'!L17+'3. Sales Planning'!R17+'3. Sales Planning'!X17</f>
        <v/>
      </c>
      <c r="E16" s="96">
        <f>'3. Sales Planning'!F17*'1. Product Setup'!C5+'3. Sales Planning'!L17*'1. Product Setup'!C6+'3. Sales Planning'!R17*'1. Product Setup'!C7+'3. Sales Planning'!X17*'1. Product Setup'!C8</f>
        <v/>
      </c>
      <c r="F16" s="96">
        <f>'3. Sales Planning'!F17*('1. Product Setup'!D5+'1. Product Setup'!E5+'1. Product Setup'!D5*'1. Product Setup'!F5)+'3. Sales Planning'!L17*('1. Product Setup'!D6+'1. Product Setup'!E6+'1. Product Setup'!D6*'1. Product Setup'!F6)+'3. Sales Planning'!R17*('1. Product Setup'!D7+'1. Product Setup'!E7+'1. Product Setup'!D7*'1. Product Setup'!F7)+'3. Sales Planning'!X17*('1. Product Setup'!D8+'1. Product Setup'!E8+'1. Product Setup'!D8*'1. Product Setup'!F8)</f>
        <v/>
      </c>
      <c r="G16" s="97">
        <f>E16-F16</f>
        <v/>
      </c>
      <c r="H16" s="98">
        <f>IF(E16=0,0,G16/E16)</f>
        <v/>
      </c>
      <c r="I16" s="96">
        <f>E16*0.15+'3. Sales Planning'!F17*'1. Product Setup'!H5+'3. Sales Planning'!L17*'1. Product Setup'!H6+'3. Sales Planning'!R17*'1. Product Setup'!H7+'3. Sales Planning'!X17*'1. Product Setup'!H8</f>
        <v/>
      </c>
      <c r="J16" s="96">
        <f>'3. Sales Planning'!F17*'1. Product Setup'!C5*'1. Product Setup'!G5+'3. Sales Planning'!L17*'1. Product Setup'!C6*'1. Product Setup'!G6+'3. Sales Planning'!R17*'1. Product Setup'!C7*'1. Product Setup'!G7+'3. Sales Planning'!X17*'1. Product Setup'!C8*'1. Product Setup'!G8</f>
        <v/>
      </c>
      <c r="K16" s="96">
        <f>'1. Product Setup'!C21</f>
        <v/>
      </c>
      <c r="L16" s="96">
        <f>I16+J16+K16</f>
        <v/>
      </c>
      <c r="M16" s="97">
        <f>G16-L16</f>
        <v/>
      </c>
      <c r="N16" s="162">
        <f>IF($B16="","",MONTH($B16))</f>
        <v/>
      </c>
      <c r="O16" s="162">
        <f>IF($B16="","",ROUNDUP(MONTH($B16)/3,0))</f>
        <v/>
      </c>
      <c r="P16" s="150" t="inlineStr">
        <is>
          <t>Dec</t>
        </is>
      </c>
      <c r="Q16" s="163">
        <f>SUMIFS($E$5:$E$56,$N$5:$N$56,12)</f>
        <v/>
      </c>
      <c r="R16" s="163">
        <f>SUMIFS($F$5:$F$56,$N$5:$N$56,12)</f>
        <v/>
      </c>
      <c r="S16" s="163">
        <f>SUMIFS($G$5:$G$56,$N$5:$N$56,12)</f>
        <v/>
      </c>
      <c r="T16" s="163">
        <f>SUMIFS($I$5:$I$56,$N$5:$N$56,12)</f>
        <v/>
      </c>
      <c r="U16" s="163">
        <f>SUMIFS($J$5:$J$56,$N$5:$N$56,12)</f>
        <v/>
      </c>
      <c r="V16" s="163">
        <f>SUMIFS($K$5:$K$56,$N$5:$N$56,12)</f>
        <v/>
      </c>
      <c r="W16" s="163">
        <f>T16+U16+V16</f>
        <v/>
      </c>
      <c r="X16" s="163">
        <f>S16-W16</f>
        <v/>
      </c>
    </row>
    <row r="17" ht="19.5" customHeight="1" s="58">
      <c r="B17" s="83" t="n">
        <v>13</v>
      </c>
      <c r="C17" s="84" t="n">
        <v>45747</v>
      </c>
      <c r="D17" s="85">
        <f>'3. Sales Planning'!F18+'3. Sales Planning'!L18+'3. Sales Planning'!R18+'3. Sales Planning'!X18</f>
        <v/>
      </c>
      <c r="E17" s="96">
        <f>'3. Sales Planning'!F18*'1. Product Setup'!C5+'3. Sales Planning'!L18*'1. Product Setup'!C6+'3. Sales Planning'!R18*'1. Product Setup'!C7+'3. Sales Planning'!X18*'1. Product Setup'!C8</f>
        <v/>
      </c>
      <c r="F17" s="96">
        <f>'3. Sales Planning'!F18*('1. Product Setup'!D5+'1. Product Setup'!E5+'1. Product Setup'!D5*'1. Product Setup'!F5)+'3. Sales Planning'!L18*('1. Product Setup'!D6+'1. Product Setup'!E6+'1. Product Setup'!D6*'1. Product Setup'!F6)+'3. Sales Planning'!R18*('1. Product Setup'!D7+'1. Product Setup'!E7+'1. Product Setup'!D7*'1. Product Setup'!F7)+'3. Sales Planning'!X18*('1. Product Setup'!D8+'1. Product Setup'!E8+'1. Product Setup'!D8*'1. Product Setup'!F8)</f>
        <v/>
      </c>
      <c r="G17" s="97">
        <f>E17-F17</f>
        <v/>
      </c>
      <c r="H17" s="98">
        <f>IF(E17=0,0,G17/E17)</f>
        <v/>
      </c>
      <c r="I17" s="96">
        <f>E17*0.15+'3. Sales Planning'!F18*'1. Product Setup'!H5+'3. Sales Planning'!L18*'1. Product Setup'!H6+'3. Sales Planning'!R18*'1. Product Setup'!H7+'3. Sales Planning'!X18*'1. Product Setup'!H8</f>
        <v/>
      </c>
      <c r="J17" s="96">
        <f>'3. Sales Planning'!F18*'1. Product Setup'!C5*'1. Product Setup'!G5+'3. Sales Planning'!L18*'1. Product Setup'!C6*'1. Product Setup'!G6+'3. Sales Planning'!R18*'1. Product Setup'!C7*'1. Product Setup'!G7+'3. Sales Planning'!X18*'1. Product Setup'!C8*'1. Product Setup'!G8</f>
        <v/>
      </c>
      <c r="K17" s="96">
        <f>'1. Product Setup'!C21</f>
        <v/>
      </c>
      <c r="L17" s="96">
        <f>I17+J17+K17</f>
        <v/>
      </c>
      <c r="M17" s="97">
        <f>G17-L17</f>
        <v/>
      </c>
      <c r="N17" s="162">
        <f>IF($B17="","",MONTH($B17))</f>
        <v/>
      </c>
      <c r="O17" s="162">
        <f>IF($B17="","",ROUNDUP(MONTH($B17)/3,0))</f>
        <v/>
      </c>
    </row>
    <row r="18" ht="19.5" customHeight="1" s="58">
      <c r="B18" s="83" t="n">
        <v>14</v>
      </c>
      <c r="C18" s="84" t="n">
        <v>45754</v>
      </c>
      <c r="D18" s="85">
        <f>'3. Sales Planning'!F19+'3. Sales Planning'!L19+'3. Sales Planning'!R19+'3. Sales Planning'!X19</f>
        <v/>
      </c>
      <c r="E18" s="96">
        <f>'3. Sales Planning'!F19*'1. Product Setup'!C5+'3. Sales Planning'!L19*'1. Product Setup'!C6+'3. Sales Planning'!R19*'1. Product Setup'!C7+'3. Sales Planning'!X19*'1. Product Setup'!C8</f>
        <v/>
      </c>
      <c r="F18" s="96">
        <f>'3. Sales Planning'!F19*('1. Product Setup'!D5+'1. Product Setup'!E5+'1. Product Setup'!D5*'1. Product Setup'!F5)+'3. Sales Planning'!L19*('1. Product Setup'!D6+'1. Product Setup'!E6+'1. Product Setup'!D6*'1. Product Setup'!F6)+'3. Sales Planning'!R19*('1. Product Setup'!D7+'1. Product Setup'!E7+'1. Product Setup'!D7*'1. Product Setup'!F7)+'3. Sales Planning'!X19*('1. Product Setup'!D8+'1. Product Setup'!E8+'1. Product Setup'!D8*'1. Product Setup'!F8)</f>
        <v/>
      </c>
      <c r="G18" s="97">
        <f>E18-F18</f>
        <v/>
      </c>
      <c r="H18" s="98">
        <f>IF(E18=0,0,G18/E18)</f>
        <v/>
      </c>
      <c r="I18" s="96">
        <f>E18*0.15+'3. Sales Planning'!F19*'1. Product Setup'!H5+'3. Sales Planning'!L19*'1. Product Setup'!H6+'3. Sales Planning'!R19*'1. Product Setup'!H7+'3. Sales Planning'!X19*'1. Product Setup'!H8</f>
        <v/>
      </c>
      <c r="J18" s="96">
        <f>'3. Sales Planning'!F19*'1. Product Setup'!C5*'1. Product Setup'!G5+'3. Sales Planning'!L19*'1. Product Setup'!C6*'1. Product Setup'!G6+'3. Sales Planning'!R19*'1. Product Setup'!C7*'1. Product Setup'!G7+'3. Sales Planning'!X19*'1. Product Setup'!C8*'1. Product Setup'!G8</f>
        <v/>
      </c>
      <c r="K18" s="96">
        <f>'1. Product Setup'!C21</f>
        <v/>
      </c>
      <c r="L18" s="96">
        <f>I18+J18+K18</f>
        <v/>
      </c>
      <c r="M18" s="97">
        <f>G18-L18</f>
        <v/>
      </c>
      <c r="N18" s="162">
        <f>IF($B18="","",MONTH($B18))</f>
        <v/>
      </c>
      <c r="W18" s="157" t="n"/>
      <c r="X18" s="157" t="n"/>
      <c r="Y18" s="157" t="n"/>
    </row>
    <row r="19" ht="19.5" customHeight="1" s="58">
      <c r="B19" s="83" t="n">
        <v>15</v>
      </c>
      <c r="C19" s="84" t="n">
        <v>45761</v>
      </c>
      <c r="D19" s="85">
        <f>'3. Sales Planning'!F20+'3. Sales Planning'!L20+'3. Sales Planning'!R20+'3. Sales Planning'!X20</f>
        <v/>
      </c>
      <c r="E19" s="96">
        <f>'3. Sales Planning'!F20*'1. Product Setup'!C5+'3. Sales Planning'!L20*'1. Product Setup'!C6+'3. Sales Planning'!R20*'1. Product Setup'!C7+'3. Sales Planning'!X20*'1. Product Setup'!C8</f>
        <v/>
      </c>
      <c r="F19" s="96">
        <f>'3. Sales Planning'!F20*('1. Product Setup'!D5+'1. Product Setup'!E5+'1. Product Setup'!D5*'1. Product Setup'!F5)+'3. Sales Planning'!L20*('1. Product Setup'!D6+'1. Product Setup'!E6+'1. Product Setup'!D6*'1. Product Setup'!F6)+'3. Sales Planning'!R20*('1. Product Setup'!D7+'1. Product Setup'!E7+'1. Product Setup'!D7*'1. Product Setup'!F7)+'3. Sales Planning'!X20*('1. Product Setup'!D8+'1. Product Setup'!E8+'1. Product Setup'!D8*'1. Product Setup'!F8)</f>
        <v/>
      </c>
      <c r="G19" s="97">
        <f>E19-F19</f>
        <v/>
      </c>
      <c r="H19" s="98">
        <f>IF(E19=0,0,G19/E19)</f>
        <v/>
      </c>
      <c r="I19" s="96">
        <f>E19*0.15+'3. Sales Planning'!F20*'1. Product Setup'!H5+'3. Sales Planning'!L20*'1. Product Setup'!H6+'3. Sales Planning'!R20*'1. Product Setup'!H7+'3. Sales Planning'!X20*'1. Product Setup'!H8</f>
        <v/>
      </c>
      <c r="J19" s="96">
        <f>'3. Sales Planning'!F20*'1. Product Setup'!C5*'1. Product Setup'!G5+'3. Sales Planning'!L20*'1. Product Setup'!C6*'1. Product Setup'!G6+'3. Sales Planning'!R20*'1. Product Setup'!C7*'1. Product Setup'!G7+'3. Sales Planning'!X20*'1. Product Setup'!C8*'1. Product Setup'!G8</f>
        <v/>
      </c>
      <c r="K19" s="96">
        <f>'1. Product Setup'!C21</f>
        <v/>
      </c>
      <c r="L19" s="96">
        <f>I19+J19+K19</f>
        <v/>
      </c>
      <c r="M19" s="97">
        <f>G19-L19</f>
        <v/>
      </c>
      <c r="N19" s="162">
        <f>IF($B19="","",MONTH($B19))</f>
        <v/>
      </c>
      <c r="W19" s="154" t="inlineStr">
        <is>
          <t>Total OpEx</t>
        </is>
      </c>
      <c r="X19" s="154" t="inlineStr">
        <is>
          <t>Net Profit</t>
        </is>
      </c>
    </row>
    <row r="20" ht="19.5" customHeight="1" s="58">
      <c r="B20" s="83" t="n">
        <v>16</v>
      </c>
      <c r="C20" s="84" t="n">
        <v>45768</v>
      </c>
      <c r="D20" s="85">
        <f>'3. Sales Planning'!F21+'3. Sales Planning'!L21+'3. Sales Planning'!R21+'3. Sales Planning'!X21</f>
        <v/>
      </c>
      <c r="E20" s="96">
        <f>'3. Sales Planning'!F21*'1. Product Setup'!C5+'3. Sales Planning'!L21*'1. Product Setup'!C6+'3. Sales Planning'!R21*'1. Product Setup'!C7+'3. Sales Planning'!X21*'1. Product Setup'!C8</f>
        <v/>
      </c>
      <c r="F20" s="96">
        <f>'3. Sales Planning'!F21*('1. Product Setup'!D5+'1. Product Setup'!E5+'1. Product Setup'!D5*'1. Product Setup'!F5)+'3. Sales Planning'!L21*('1. Product Setup'!D6+'1. Product Setup'!E6+'1. Product Setup'!D6*'1. Product Setup'!F6)+'3. Sales Planning'!R21*('1. Product Setup'!D7+'1. Product Setup'!E7+'1. Product Setup'!D7*'1. Product Setup'!F7)+'3. Sales Planning'!X21*('1. Product Setup'!D8+'1. Product Setup'!E8+'1. Product Setup'!D8*'1. Product Setup'!F8)</f>
        <v/>
      </c>
      <c r="G20" s="97">
        <f>E20-F20</f>
        <v/>
      </c>
      <c r="H20" s="98">
        <f>IF(E20=0,0,G20/E20)</f>
        <v/>
      </c>
      <c r="I20" s="96">
        <f>E20*0.15+'3. Sales Planning'!F21*'1. Product Setup'!H5+'3. Sales Planning'!L21*'1. Product Setup'!H6+'3. Sales Planning'!R21*'1. Product Setup'!H7+'3. Sales Planning'!X21*'1. Product Setup'!H8</f>
        <v/>
      </c>
      <c r="J20" s="96">
        <f>'3. Sales Planning'!F21*'1. Product Setup'!C5*'1. Product Setup'!G5+'3. Sales Planning'!L21*'1. Product Setup'!C6*'1. Product Setup'!G6+'3. Sales Planning'!R21*'1. Product Setup'!C7*'1. Product Setup'!G7+'3. Sales Planning'!X21*'1. Product Setup'!C8*'1. Product Setup'!G8</f>
        <v/>
      </c>
      <c r="K20" s="96">
        <f>'1. Product Setup'!C21</f>
        <v/>
      </c>
      <c r="L20" s="96">
        <f>I20+J20+K20</f>
        <v/>
      </c>
      <c r="M20" s="97">
        <f>G20-L20</f>
        <v/>
      </c>
      <c r="N20" s="162">
        <f>IF($B20="","",MONTH($B20))</f>
        <v/>
      </c>
      <c r="O20" s="162">
        <f>IF($B20="","",ROUNDUP(MONTH($B20)/3,0))</f>
        <v/>
      </c>
      <c r="P20" s="150" t="inlineStr">
        <is>
          <t>Q1</t>
        </is>
      </c>
      <c r="Q20" s="163">
        <f>SUMIFS($E$5:$E$56,$O$5:$O$56,1)</f>
        <v/>
      </c>
      <c r="R20" s="163">
        <f>SUMIFS($F$5:$F$56,$O$5:$O$56,1)</f>
        <v/>
      </c>
      <c r="S20" s="163">
        <f>SUMIFS($G$5:$G$56,$O$5:$O$56,1)</f>
        <v/>
      </c>
      <c r="T20" s="163">
        <f>SUMIFS($I$5:$I$56,$O$5:$O$56,1)</f>
        <v/>
      </c>
      <c r="U20" s="163">
        <f>SUMIFS($J$5:$J$56,$O$5:$O$56,1)</f>
        <v/>
      </c>
      <c r="V20" s="163">
        <f>SUMIFS($K$5:$K$56,$O$5:$O$56,1)</f>
        <v/>
      </c>
      <c r="W20" s="163">
        <f>T20+U20+V20</f>
        <v/>
      </c>
      <c r="X20" s="163">
        <f>S20-W20</f>
        <v/>
      </c>
    </row>
    <row r="21" ht="19.5" customHeight="1" s="58">
      <c r="B21" s="83" t="n">
        <v>17</v>
      </c>
      <c r="C21" s="84" t="n">
        <v>45775</v>
      </c>
      <c r="D21" s="85">
        <f>'3. Sales Planning'!F22+'3. Sales Planning'!L22+'3. Sales Planning'!R22+'3. Sales Planning'!X22</f>
        <v/>
      </c>
      <c r="E21" s="96">
        <f>'3. Sales Planning'!F22*'1. Product Setup'!C5+'3. Sales Planning'!L22*'1. Product Setup'!C6+'3. Sales Planning'!R22*'1. Product Setup'!C7+'3. Sales Planning'!X22*'1. Product Setup'!C8</f>
        <v/>
      </c>
      <c r="F21" s="96">
        <f>'3. Sales Planning'!F22*('1. Product Setup'!D5+'1. Product Setup'!E5+'1. Product Setup'!D5*'1. Product Setup'!F5)+'3. Sales Planning'!L22*('1. Product Setup'!D6+'1. Product Setup'!E6+'1. Product Setup'!D6*'1. Product Setup'!F6)+'3. Sales Planning'!R22*('1. Product Setup'!D7+'1. Product Setup'!E7+'1. Product Setup'!D7*'1. Product Setup'!F7)+'3. Sales Planning'!X22*('1. Product Setup'!D8+'1. Product Setup'!E8+'1. Product Setup'!D8*'1. Product Setup'!F8)</f>
        <v/>
      </c>
      <c r="G21" s="97">
        <f>E21-F21</f>
        <v/>
      </c>
      <c r="H21" s="98">
        <f>IF(E21=0,0,G21/E21)</f>
        <v/>
      </c>
      <c r="I21" s="96">
        <f>E21*0.15+'3. Sales Planning'!F22*'1. Product Setup'!H5+'3. Sales Planning'!L22*'1. Product Setup'!H6+'3. Sales Planning'!R22*'1. Product Setup'!H7+'3. Sales Planning'!X22*'1. Product Setup'!H8</f>
        <v/>
      </c>
      <c r="J21" s="96">
        <f>'3. Sales Planning'!F22*'1. Product Setup'!C5*'1. Product Setup'!G5+'3. Sales Planning'!L22*'1. Product Setup'!C6*'1. Product Setup'!G6+'3. Sales Planning'!R22*'1. Product Setup'!C7*'1. Product Setup'!G7+'3. Sales Planning'!X22*'1. Product Setup'!C8*'1. Product Setup'!G8</f>
        <v/>
      </c>
      <c r="K21" s="96">
        <f>'1. Product Setup'!C21</f>
        <v/>
      </c>
      <c r="L21" s="96">
        <f>I21+J21+K21</f>
        <v/>
      </c>
      <c r="M21" s="97">
        <f>G21-L21</f>
        <v/>
      </c>
      <c r="N21" s="162">
        <f>IF($B21="","",MONTH($B21))</f>
        <v/>
      </c>
      <c r="O21" s="162">
        <f>IF($B21="","",ROUNDUP(MONTH($B21)/3,0))</f>
        <v/>
      </c>
      <c r="P21" s="150" t="inlineStr">
        <is>
          <t>Q2</t>
        </is>
      </c>
      <c r="Q21" s="163">
        <f>SUMIFS($E$5:$E$56,$O$5:$O$56,2)</f>
        <v/>
      </c>
      <c r="R21" s="163">
        <f>SUMIFS($F$5:$F$56,$O$5:$O$56,2)</f>
        <v/>
      </c>
      <c r="S21" s="163">
        <f>SUMIFS($G$5:$G$56,$O$5:$O$56,2)</f>
        <v/>
      </c>
      <c r="T21" s="163">
        <f>SUMIFS($I$5:$I$56,$O$5:$O$56,2)</f>
        <v/>
      </c>
      <c r="U21" s="163">
        <f>SUMIFS($J$5:$J$56,$O$5:$O$56,2)</f>
        <v/>
      </c>
      <c r="V21" s="163">
        <f>SUMIFS($K$5:$K$56,$O$5:$O$56,2)</f>
        <v/>
      </c>
      <c r="W21" s="163">
        <f>T21+U21+V21</f>
        <v/>
      </c>
      <c r="X21" s="163">
        <f>S21-W21</f>
        <v/>
      </c>
    </row>
    <row r="22" ht="19.5" customHeight="1" s="58">
      <c r="B22" s="83" t="n">
        <v>18</v>
      </c>
      <c r="C22" s="84" t="n">
        <v>45782</v>
      </c>
      <c r="D22" s="85">
        <f>'3. Sales Planning'!F23+'3. Sales Planning'!L23+'3. Sales Planning'!R23+'3. Sales Planning'!X23</f>
        <v/>
      </c>
      <c r="E22" s="96">
        <f>'3. Sales Planning'!F23*'1. Product Setup'!C5+'3. Sales Planning'!L23*'1. Product Setup'!C6+'3. Sales Planning'!R23*'1. Product Setup'!C7+'3. Sales Planning'!X23*'1. Product Setup'!C8</f>
        <v/>
      </c>
      <c r="F22" s="96">
        <f>'3. Sales Planning'!F23*('1. Product Setup'!D5+'1. Product Setup'!E5+'1. Product Setup'!D5*'1. Product Setup'!F5)+'3. Sales Planning'!L23*('1. Product Setup'!D6+'1. Product Setup'!E6+'1. Product Setup'!D6*'1. Product Setup'!F6)+'3. Sales Planning'!R23*('1. Product Setup'!D7+'1. Product Setup'!E7+'1. Product Setup'!D7*'1. Product Setup'!F7)+'3. Sales Planning'!X23*('1. Product Setup'!D8+'1. Product Setup'!E8+'1. Product Setup'!D8*'1. Product Setup'!F8)</f>
        <v/>
      </c>
      <c r="G22" s="97">
        <f>E22-F22</f>
        <v/>
      </c>
      <c r="H22" s="98">
        <f>IF(E22=0,0,G22/E22)</f>
        <v/>
      </c>
      <c r="I22" s="96">
        <f>E22*0.15+'3. Sales Planning'!F23*'1. Product Setup'!H5+'3. Sales Planning'!L23*'1. Product Setup'!H6+'3. Sales Planning'!R23*'1. Product Setup'!H7+'3. Sales Planning'!X23*'1. Product Setup'!H8</f>
        <v/>
      </c>
      <c r="J22" s="96">
        <f>'3. Sales Planning'!F23*'1. Product Setup'!C5*'1. Product Setup'!G5+'3. Sales Planning'!L23*'1. Product Setup'!C6*'1. Product Setup'!G6+'3. Sales Planning'!R23*'1. Product Setup'!C7*'1. Product Setup'!G7+'3. Sales Planning'!X23*'1. Product Setup'!C8*'1. Product Setup'!G8</f>
        <v/>
      </c>
      <c r="K22" s="96">
        <f>'1. Product Setup'!C21</f>
        <v/>
      </c>
      <c r="L22" s="96">
        <f>I22+J22+K22</f>
        <v/>
      </c>
      <c r="M22" s="97">
        <f>G22-L22</f>
        <v/>
      </c>
      <c r="N22" s="162">
        <f>IF($B22="","",MONTH($B22))</f>
        <v/>
      </c>
      <c r="O22" s="162">
        <f>IF($B22="","",ROUNDUP(MONTH($B22)/3,0))</f>
        <v/>
      </c>
      <c r="P22" s="150" t="inlineStr">
        <is>
          <t>Q3</t>
        </is>
      </c>
      <c r="Q22" s="163">
        <f>SUMIFS($E$5:$E$56,$O$5:$O$56,3)</f>
        <v/>
      </c>
      <c r="R22" s="163">
        <f>SUMIFS($F$5:$F$56,$O$5:$O$56,3)</f>
        <v/>
      </c>
      <c r="S22" s="163">
        <f>SUMIFS($G$5:$G$56,$O$5:$O$56,3)</f>
        <v/>
      </c>
      <c r="T22" s="163">
        <f>SUMIFS($I$5:$I$56,$O$5:$O$56,3)</f>
        <v/>
      </c>
      <c r="U22" s="163">
        <f>SUMIFS($J$5:$J$56,$O$5:$O$56,3)</f>
        <v/>
      </c>
      <c r="V22" s="163">
        <f>SUMIFS($K$5:$K$56,$O$5:$O$56,3)</f>
        <v/>
      </c>
      <c r="W22" s="163">
        <f>T22+U22+V22</f>
        <v/>
      </c>
      <c r="X22" s="163">
        <f>S22-W22</f>
        <v/>
      </c>
    </row>
    <row r="23" ht="19.5" customHeight="1" s="58">
      <c r="B23" s="83" t="n">
        <v>19</v>
      </c>
      <c r="C23" s="84" t="n">
        <v>45789</v>
      </c>
      <c r="D23" s="85">
        <f>'3. Sales Planning'!F24+'3. Sales Planning'!L24+'3. Sales Planning'!R24+'3. Sales Planning'!X24</f>
        <v/>
      </c>
      <c r="E23" s="96">
        <f>'3. Sales Planning'!F24*'1. Product Setup'!C5+'3. Sales Planning'!L24*'1. Product Setup'!C6+'3. Sales Planning'!R24*'1. Product Setup'!C7+'3. Sales Planning'!X24*'1. Product Setup'!C8</f>
        <v/>
      </c>
      <c r="F23" s="96">
        <f>'3. Sales Planning'!F24*('1. Product Setup'!D5+'1. Product Setup'!E5+'1. Product Setup'!D5*'1. Product Setup'!F5)+'3. Sales Planning'!L24*('1. Product Setup'!D6+'1. Product Setup'!E6+'1. Product Setup'!D6*'1. Product Setup'!F6)+'3. Sales Planning'!R24*('1. Product Setup'!D7+'1. Product Setup'!E7+'1. Product Setup'!D7*'1. Product Setup'!F7)+'3. Sales Planning'!X24*('1. Product Setup'!D8+'1. Product Setup'!E8+'1. Product Setup'!D8*'1. Product Setup'!F8)</f>
        <v/>
      </c>
      <c r="G23" s="97">
        <f>E23-F23</f>
        <v/>
      </c>
      <c r="H23" s="98">
        <f>IF(E23=0,0,G23/E23)</f>
        <v/>
      </c>
      <c r="I23" s="96">
        <f>E23*0.15+'3. Sales Planning'!F24*'1. Product Setup'!H5+'3. Sales Planning'!L24*'1. Product Setup'!H6+'3. Sales Planning'!R24*'1. Product Setup'!H7+'3. Sales Planning'!X24*'1. Product Setup'!H8</f>
        <v/>
      </c>
      <c r="J23" s="96">
        <f>'3. Sales Planning'!F24*'1. Product Setup'!C5*'1. Product Setup'!G5+'3. Sales Planning'!L24*'1. Product Setup'!C6*'1. Product Setup'!G6+'3. Sales Planning'!R24*'1. Product Setup'!C7*'1. Product Setup'!G7+'3. Sales Planning'!X24*'1. Product Setup'!C8*'1. Product Setup'!G8</f>
        <v/>
      </c>
      <c r="K23" s="96">
        <f>'1. Product Setup'!C21</f>
        <v/>
      </c>
      <c r="L23" s="96">
        <f>I23+J23+K23</f>
        <v/>
      </c>
      <c r="M23" s="97">
        <f>G23-L23</f>
        <v/>
      </c>
      <c r="N23" s="162">
        <f>IF($B23="","",MONTH($B23))</f>
        <v/>
      </c>
      <c r="O23" s="162">
        <f>IF($B23="","",ROUNDUP(MONTH($B23)/3,0))</f>
        <v/>
      </c>
      <c r="P23" s="150" t="inlineStr">
        <is>
          <t>Q4</t>
        </is>
      </c>
      <c r="Q23" s="163">
        <f>SUMIFS($E$5:$E$56,$O$5:$O$56,4)</f>
        <v/>
      </c>
      <c r="R23" s="163">
        <f>SUMIFS($F$5:$F$56,$O$5:$O$56,4)</f>
        <v/>
      </c>
      <c r="S23" s="163">
        <f>SUMIFS($G$5:$G$56,$O$5:$O$56,4)</f>
        <v/>
      </c>
      <c r="T23" s="163">
        <f>SUMIFS($I$5:$I$56,$O$5:$O$56,4)</f>
        <v/>
      </c>
      <c r="U23" s="163">
        <f>SUMIFS($J$5:$J$56,$O$5:$O$56,4)</f>
        <v/>
      </c>
      <c r="V23" s="163">
        <f>SUMIFS($K$5:$K$56,$O$5:$O$56,4)</f>
        <v/>
      </c>
      <c r="W23" s="163">
        <f>T23+U23+V23</f>
        <v/>
      </c>
      <c r="X23" s="163">
        <f>S23-W23</f>
        <v/>
      </c>
    </row>
    <row r="24" ht="19.5" customHeight="1" s="58">
      <c r="B24" s="83" t="n">
        <v>20</v>
      </c>
      <c r="C24" s="84" t="n">
        <v>45796</v>
      </c>
      <c r="D24" s="85">
        <f>'3. Sales Planning'!F25+'3. Sales Planning'!L25+'3. Sales Planning'!R25+'3. Sales Planning'!X25</f>
        <v/>
      </c>
      <c r="E24" s="96">
        <f>'3. Sales Planning'!F25*'1. Product Setup'!C5+'3. Sales Planning'!L25*'1. Product Setup'!C6+'3. Sales Planning'!R25*'1. Product Setup'!C7+'3. Sales Planning'!X25*'1. Product Setup'!C8</f>
        <v/>
      </c>
      <c r="F24" s="96">
        <f>'3. Sales Planning'!F25*('1. Product Setup'!D5+'1. Product Setup'!E5+'1. Product Setup'!D5*'1. Product Setup'!F5)+'3. Sales Planning'!L25*('1. Product Setup'!D6+'1. Product Setup'!E6+'1. Product Setup'!D6*'1. Product Setup'!F6)+'3. Sales Planning'!R25*('1. Product Setup'!D7+'1. Product Setup'!E7+'1. Product Setup'!D7*'1. Product Setup'!F7)+'3. Sales Planning'!X25*('1. Product Setup'!D8+'1. Product Setup'!E8+'1. Product Setup'!D8*'1. Product Setup'!F8)</f>
        <v/>
      </c>
      <c r="G24" s="97">
        <f>E24-F24</f>
        <v/>
      </c>
      <c r="H24" s="98">
        <f>IF(E24=0,0,G24/E24)</f>
        <v/>
      </c>
      <c r="I24" s="96">
        <f>E24*0.15+'3. Sales Planning'!F25*'1. Product Setup'!H5+'3. Sales Planning'!L25*'1. Product Setup'!H6+'3. Sales Planning'!R25*'1. Product Setup'!H7+'3. Sales Planning'!X25*'1. Product Setup'!H8</f>
        <v/>
      </c>
      <c r="J24" s="96">
        <f>'3. Sales Planning'!F25*'1. Product Setup'!C5*'1. Product Setup'!G5+'3. Sales Planning'!L25*'1. Product Setup'!C6*'1. Product Setup'!G6+'3. Sales Planning'!R25*'1. Product Setup'!C7*'1. Product Setup'!G7+'3. Sales Planning'!X25*'1. Product Setup'!C8*'1. Product Setup'!G8</f>
        <v/>
      </c>
      <c r="K24" s="96">
        <f>'1. Product Setup'!C21</f>
        <v/>
      </c>
      <c r="L24" s="96">
        <f>I24+J24+K24</f>
        <v/>
      </c>
      <c r="M24" s="97">
        <f>G24-L24</f>
        <v/>
      </c>
      <c r="N24" s="162">
        <f>IF($B24="","",MONTH($B24))</f>
        <v/>
      </c>
      <c r="O24" s="162">
        <f>IF($B24="","",ROUNDUP(MONTH($B24)/3,0))</f>
        <v/>
      </c>
    </row>
    <row r="25" ht="19.5" customHeight="1" s="58">
      <c r="B25" s="83" t="n">
        <v>21</v>
      </c>
      <c r="C25" s="84" t="n">
        <v>45803</v>
      </c>
      <c r="D25" s="85">
        <f>'3. Sales Planning'!F26+'3. Sales Planning'!L26+'3. Sales Planning'!R26+'3. Sales Planning'!X26</f>
        <v/>
      </c>
      <c r="E25" s="96">
        <f>'3. Sales Planning'!F26*'1. Product Setup'!C5+'3. Sales Planning'!L26*'1. Product Setup'!C6+'3. Sales Planning'!R26*'1. Product Setup'!C7+'3. Sales Planning'!X26*'1. Product Setup'!C8</f>
        <v/>
      </c>
      <c r="F25" s="96">
        <f>'3. Sales Planning'!F26*('1. Product Setup'!D5+'1. Product Setup'!E5+'1. Product Setup'!D5*'1. Product Setup'!F5)+'3. Sales Planning'!L26*('1. Product Setup'!D6+'1. Product Setup'!E6+'1. Product Setup'!D6*'1. Product Setup'!F6)+'3. Sales Planning'!R26*('1. Product Setup'!D7+'1. Product Setup'!E7+'1. Product Setup'!D7*'1. Product Setup'!F7)+'3. Sales Planning'!X26*('1. Product Setup'!D8+'1. Product Setup'!E8+'1. Product Setup'!D8*'1. Product Setup'!F8)</f>
        <v/>
      </c>
      <c r="G25" s="97">
        <f>E25-F25</f>
        <v/>
      </c>
      <c r="H25" s="98">
        <f>IF(E25=0,0,G25/E25)</f>
        <v/>
      </c>
      <c r="I25" s="96">
        <f>E25*0.15+'3. Sales Planning'!F26*'1. Product Setup'!H5+'3. Sales Planning'!L26*'1. Product Setup'!H6+'3. Sales Planning'!R26*'1. Product Setup'!H7+'3. Sales Planning'!X26*'1. Product Setup'!H8</f>
        <v/>
      </c>
      <c r="J25" s="96">
        <f>'3. Sales Planning'!F26*'1. Product Setup'!C5*'1. Product Setup'!G5+'3. Sales Planning'!L26*'1. Product Setup'!C6*'1. Product Setup'!G6+'3. Sales Planning'!R26*'1. Product Setup'!C7*'1. Product Setup'!G7+'3. Sales Planning'!X26*'1. Product Setup'!C8*'1. Product Setup'!G8</f>
        <v/>
      </c>
      <c r="K25" s="96">
        <f>'1. Product Setup'!C21</f>
        <v/>
      </c>
      <c r="L25" s="96">
        <f>I25+J25+K25</f>
        <v/>
      </c>
      <c r="M25" s="97">
        <f>G25-L25</f>
        <v/>
      </c>
      <c r="N25" s="162">
        <f>IF($B25="","",MONTH($B25))</f>
        <v/>
      </c>
      <c r="O25" s="162">
        <f>IF($B25="","",ROUNDUP(MONTH($B25)/3,0))</f>
        <v/>
      </c>
    </row>
    <row r="26" ht="19.5" customHeight="1" s="58">
      <c r="B26" s="83" t="n">
        <v>22</v>
      </c>
      <c r="C26" s="84" t="n">
        <v>45810</v>
      </c>
      <c r="D26" s="85">
        <f>'3. Sales Planning'!F27+'3. Sales Planning'!L27+'3. Sales Planning'!R27+'3. Sales Planning'!X27</f>
        <v/>
      </c>
      <c r="E26" s="96">
        <f>'3. Sales Planning'!F27*'1. Product Setup'!C5+'3. Sales Planning'!L27*'1. Product Setup'!C6+'3. Sales Planning'!R27*'1. Product Setup'!C7+'3. Sales Planning'!X27*'1. Product Setup'!C8</f>
        <v/>
      </c>
      <c r="F26" s="96">
        <f>'3. Sales Planning'!F27*('1. Product Setup'!D5+'1. Product Setup'!E5+'1. Product Setup'!D5*'1. Product Setup'!F5)+'3. Sales Planning'!L27*('1. Product Setup'!D6+'1. Product Setup'!E6+'1. Product Setup'!D6*'1. Product Setup'!F6)+'3. Sales Planning'!R27*('1. Product Setup'!D7+'1. Product Setup'!E7+'1. Product Setup'!D7*'1. Product Setup'!F7)+'3. Sales Planning'!X27*('1. Product Setup'!D8+'1. Product Setup'!E8+'1. Product Setup'!D8*'1. Product Setup'!F8)</f>
        <v/>
      </c>
      <c r="G26" s="97">
        <f>E26-F26</f>
        <v/>
      </c>
      <c r="H26" s="98">
        <f>IF(E26=0,0,G26/E26)</f>
        <v/>
      </c>
      <c r="I26" s="96">
        <f>E26*0.15+'3. Sales Planning'!F27*'1. Product Setup'!H5+'3. Sales Planning'!L27*'1. Product Setup'!H6+'3. Sales Planning'!R27*'1. Product Setup'!H7+'3. Sales Planning'!X27*'1. Product Setup'!H8</f>
        <v/>
      </c>
      <c r="J26" s="96">
        <f>'3. Sales Planning'!F27*'1. Product Setup'!C5*'1. Product Setup'!G5+'3. Sales Planning'!L27*'1. Product Setup'!C6*'1. Product Setup'!G6+'3. Sales Planning'!R27*'1. Product Setup'!C7*'1. Product Setup'!G7+'3. Sales Planning'!X27*'1. Product Setup'!C8*'1. Product Setup'!G8</f>
        <v/>
      </c>
      <c r="K26" s="96">
        <f>'1. Product Setup'!C21</f>
        <v/>
      </c>
      <c r="L26" s="96">
        <f>I26+J26+K26</f>
        <v/>
      </c>
      <c r="M26" s="97">
        <f>G26-L26</f>
        <v/>
      </c>
      <c r="N26" s="162">
        <f>IF($B26="","",MONTH($B26))</f>
        <v/>
      </c>
      <c r="O26" s="162">
        <f>IF($B26="","",ROUNDUP(MONTH($B26)/3,0))</f>
        <v/>
      </c>
    </row>
    <row r="27" ht="19.5" customHeight="1" s="58">
      <c r="B27" s="83" t="n">
        <v>23</v>
      </c>
      <c r="C27" s="84" t="n">
        <v>45817</v>
      </c>
      <c r="D27" s="85">
        <f>'3. Sales Planning'!F28+'3. Sales Planning'!L28+'3. Sales Planning'!R28+'3. Sales Planning'!X28</f>
        <v/>
      </c>
      <c r="E27" s="96">
        <f>'3. Sales Planning'!F28*'1. Product Setup'!C5+'3. Sales Planning'!L28*'1. Product Setup'!C6+'3. Sales Planning'!R28*'1. Product Setup'!C7+'3. Sales Planning'!X28*'1. Product Setup'!C8</f>
        <v/>
      </c>
      <c r="F27" s="96">
        <f>'3. Sales Planning'!F28*('1. Product Setup'!D5+'1. Product Setup'!E5+'1. Product Setup'!D5*'1. Product Setup'!F5)+'3. Sales Planning'!L28*('1. Product Setup'!D6+'1. Product Setup'!E6+'1. Product Setup'!D6*'1. Product Setup'!F6)+'3. Sales Planning'!R28*('1. Product Setup'!D7+'1. Product Setup'!E7+'1. Product Setup'!D7*'1. Product Setup'!F7)+'3. Sales Planning'!X28*('1. Product Setup'!D8+'1. Product Setup'!E8+'1. Product Setup'!D8*'1. Product Setup'!F8)</f>
        <v/>
      </c>
      <c r="G27" s="97">
        <f>E27-F27</f>
        <v/>
      </c>
      <c r="H27" s="98">
        <f>IF(E27=0,0,G27/E27)</f>
        <v/>
      </c>
      <c r="I27" s="96">
        <f>E27*0.15+'3. Sales Planning'!F28*'1. Product Setup'!H5+'3. Sales Planning'!L28*'1. Product Setup'!H6+'3. Sales Planning'!R28*'1. Product Setup'!H7+'3. Sales Planning'!X28*'1. Product Setup'!H8</f>
        <v/>
      </c>
      <c r="J27" s="96">
        <f>'3. Sales Planning'!F28*'1. Product Setup'!C5*'1. Product Setup'!G5+'3. Sales Planning'!L28*'1. Product Setup'!C6*'1. Product Setup'!G6+'3. Sales Planning'!R28*'1. Product Setup'!C7*'1. Product Setup'!G7+'3. Sales Planning'!X28*'1. Product Setup'!C8*'1. Product Setup'!G8</f>
        <v/>
      </c>
      <c r="K27" s="96">
        <f>'1. Product Setup'!C21</f>
        <v/>
      </c>
      <c r="L27" s="96">
        <f>I27+J27+K27</f>
        <v/>
      </c>
      <c r="M27" s="97">
        <f>G27-L27</f>
        <v/>
      </c>
      <c r="N27" s="162">
        <f>IF($B27="","",MONTH($B27))</f>
        <v/>
      </c>
      <c r="O27" s="162">
        <f>IF($B27="","",ROUNDUP(MONTH($B27)/3,0))</f>
        <v/>
      </c>
    </row>
    <row r="28" ht="19.5" customHeight="1" s="58">
      <c r="B28" s="83" t="n">
        <v>24</v>
      </c>
      <c r="C28" s="84" t="n">
        <v>45824</v>
      </c>
      <c r="D28" s="85">
        <f>'3. Sales Planning'!F29+'3. Sales Planning'!L29+'3. Sales Planning'!R29+'3. Sales Planning'!X29</f>
        <v/>
      </c>
      <c r="E28" s="96">
        <f>'3. Sales Planning'!F29*'1. Product Setup'!C5+'3. Sales Planning'!L29*'1. Product Setup'!C6+'3. Sales Planning'!R29*'1. Product Setup'!C7+'3. Sales Planning'!X29*'1. Product Setup'!C8</f>
        <v/>
      </c>
      <c r="F28" s="96">
        <f>'3. Sales Planning'!F29*('1. Product Setup'!D5+'1. Product Setup'!E5+'1. Product Setup'!D5*'1. Product Setup'!F5)+'3. Sales Planning'!L29*('1. Product Setup'!D6+'1. Product Setup'!E6+'1. Product Setup'!D6*'1. Product Setup'!F6)+'3. Sales Planning'!R29*('1. Product Setup'!D7+'1. Product Setup'!E7+'1. Product Setup'!D7*'1. Product Setup'!F7)+'3. Sales Planning'!X29*('1. Product Setup'!D8+'1. Product Setup'!E8+'1. Product Setup'!D8*'1. Product Setup'!F8)</f>
        <v/>
      </c>
      <c r="G28" s="97">
        <f>E28-F28</f>
        <v/>
      </c>
      <c r="H28" s="98">
        <f>IF(E28=0,0,G28/E28)</f>
        <v/>
      </c>
      <c r="I28" s="96">
        <f>E28*0.15+'3. Sales Planning'!F29*'1. Product Setup'!H5+'3. Sales Planning'!L29*'1. Product Setup'!H6+'3. Sales Planning'!R29*'1. Product Setup'!H7+'3. Sales Planning'!X29*'1. Product Setup'!H8</f>
        <v/>
      </c>
      <c r="J28" s="96">
        <f>'3. Sales Planning'!F29*'1. Product Setup'!C5*'1. Product Setup'!G5+'3. Sales Planning'!L29*'1. Product Setup'!C6*'1. Product Setup'!G6+'3. Sales Planning'!R29*'1. Product Setup'!C7*'1. Product Setup'!G7+'3. Sales Planning'!X29*'1. Product Setup'!C8*'1. Product Setup'!G8</f>
        <v/>
      </c>
      <c r="K28" s="96">
        <f>'1. Product Setup'!C21</f>
        <v/>
      </c>
      <c r="L28" s="96">
        <f>I28+J28+K28</f>
        <v/>
      </c>
      <c r="M28" s="97">
        <f>G28-L28</f>
        <v/>
      </c>
      <c r="N28" s="162">
        <f>IF($B28="","",MONTH($B28))</f>
        <v/>
      </c>
      <c r="O28" s="162">
        <f>IF($B28="","",ROUNDUP(MONTH($B28)/3,0))</f>
        <v/>
      </c>
    </row>
    <row r="29" ht="19.5" customHeight="1" s="58">
      <c r="B29" s="83" t="n">
        <v>25</v>
      </c>
      <c r="C29" s="84" t="n">
        <v>45831</v>
      </c>
      <c r="D29" s="85">
        <f>'3. Sales Planning'!F30+'3. Sales Planning'!L30+'3. Sales Planning'!R30+'3. Sales Planning'!X30</f>
        <v/>
      </c>
      <c r="E29" s="96">
        <f>'3. Sales Planning'!F30*'1. Product Setup'!C5+'3. Sales Planning'!L30*'1. Product Setup'!C6+'3. Sales Planning'!R30*'1. Product Setup'!C7+'3. Sales Planning'!X30*'1. Product Setup'!C8</f>
        <v/>
      </c>
      <c r="F29" s="96">
        <f>'3. Sales Planning'!F30*('1. Product Setup'!D5+'1. Product Setup'!E5+'1. Product Setup'!D5*'1. Product Setup'!F5)+'3. Sales Planning'!L30*('1. Product Setup'!D6+'1. Product Setup'!E6+'1. Product Setup'!D6*'1. Product Setup'!F6)+'3. Sales Planning'!R30*('1. Product Setup'!D7+'1. Product Setup'!E7+'1. Product Setup'!D7*'1. Product Setup'!F7)+'3. Sales Planning'!X30*('1. Product Setup'!D8+'1. Product Setup'!E8+'1. Product Setup'!D8*'1. Product Setup'!F8)</f>
        <v/>
      </c>
      <c r="G29" s="97">
        <f>E29-F29</f>
        <v/>
      </c>
      <c r="H29" s="98">
        <f>IF(E29=0,0,G29/E29)</f>
        <v/>
      </c>
      <c r="I29" s="96">
        <f>E29*0.15+'3. Sales Planning'!F30*'1. Product Setup'!H5+'3. Sales Planning'!L30*'1. Product Setup'!H6+'3. Sales Planning'!R30*'1. Product Setup'!H7+'3. Sales Planning'!X30*'1. Product Setup'!H8</f>
        <v/>
      </c>
      <c r="J29" s="96">
        <f>'3. Sales Planning'!F30*'1. Product Setup'!C5*'1. Product Setup'!G5+'3. Sales Planning'!L30*'1. Product Setup'!C6*'1. Product Setup'!G6+'3. Sales Planning'!R30*'1. Product Setup'!C7*'1. Product Setup'!G7+'3. Sales Planning'!X30*'1. Product Setup'!C8*'1. Product Setup'!G8</f>
        <v/>
      </c>
      <c r="K29" s="96">
        <f>'1. Product Setup'!C21</f>
        <v/>
      </c>
      <c r="L29" s="96">
        <f>I29+J29+K29</f>
        <v/>
      </c>
      <c r="M29" s="97">
        <f>G29-L29</f>
        <v/>
      </c>
      <c r="N29" s="162">
        <f>IF($B29="","",MONTH($B29))</f>
        <v/>
      </c>
      <c r="O29" s="162">
        <f>IF($B29="","",ROUNDUP(MONTH($B29)/3,0))</f>
        <v/>
      </c>
    </row>
    <row r="30" ht="19.5" customHeight="1" s="58">
      <c r="B30" s="83" t="n">
        <v>26</v>
      </c>
      <c r="C30" s="84" t="n">
        <v>45838</v>
      </c>
      <c r="D30" s="85">
        <f>'3. Sales Planning'!F31+'3. Sales Planning'!L31+'3. Sales Planning'!R31+'3. Sales Planning'!X31</f>
        <v/>
      </c>
      <c r="E30" s="96">
        <f>'3. Sales Planning'!F31*'1. Product Setup'!C5+'3. Sales Planning'!L31*'1. Product Setup'!C6+'3. Sales Planning'!R31*'1. Product Setup'!C7+'3. Sales Planning'!X31*'1. Product Setup'!C8</f>
        <v/>
      </c>
      <c r="F30" s="96">
        <f>'3. Sales Planning'!F31*('1. Product Setup'!D5+'1. Product Setup'!E5+'1. Product Setup'!D5*'1. Product Setup'!F5)+'3. Sales Planning'!L31*('1. Product Setup'!D6+'1. Product Setup'!E6+'1. Product Setup'!D6*'1. Product Setup'!F6)+'3. Sales Planning'!R31*('1. Product Setup'!D7+'1. Product Setup'!E7+'1. Product Setup'!D7*'1. Product Setup'!F7)+'3. Sales Planning'!X31*('1. Product Setup'!D8+'1. Product Setup'!E8+'1. Product Setup'!D8*'1. Product Setup'!F8)</f>
        <v/>
      </c>
      <c r="G30" s="97">
        <f>E30-F30</f>
        <v/>
      </c>
      <c r="H30" s="98">
        <f>IF(E30=0,0,G30/E30)</f>
        <v/>
      </c>
      <c r="I30" s="96">
        <f>E30*0.15+'3. Sales Planning'!F31*'1. Product Setup'!H5+'3. Sales Planning'!L31*'1. Product Setup'!H6+'3. Sales Planning'!R31*'1. Product Setup'!H7+'3. Sales Planning'!X31*'1. Product Setup'!H8</f>
        <v/>
      </c>
      <c r="J30" s="96">
        <f>'3. Sales Planning'!F31*'1. Product Setup'!C5*'1. Product Setup'!G5+'3. Sales Planning'!L31*'1. Product Setup'!C6*'1. Product Setup'!G6+'3. Sales Planning'!R31*'1. Product Setup'!C7*'1. Product Setup'!G7+'3. Sales Planning'!X31*'1. Product Setup'!C8*'1. Product Setup'!G8</f>
        <v/>
      </c>
      <c r="K30" s="96">
        <f>'1. Product Setup'!C21</f>
        <v/>
      </c>
      <c r="L30" s="96">
        <f>I30+J30+K30</f>
        <v/>
      </c>
      <c r="M30" s="97">
        <f>G30-L30</f>
        <v/>
      </c>
      <c r="N30" s="162">
        <f>IF($B30="","",MONTH($B30))</f>
        <v/>
      </c>
      <c r="O30" s="162">
        <f>IF($B30="","",ROUNDUP(MONTH($B30)/3,0))</f>
        <v/>
      </c>
    </row>
    <row r="31" ht="19.5" customHeight="1" s="58">
      <c r="B31" s="83" t="n">
        <v>27</v>
      </c>
      <c r="C31" s="84" t="n">
        <v>45845</v>
      </c>
      <c r="D31" s="85">
        <f>'3. Sales Planning'!F32+'3. Sales Planning'!L32+'3. Sales Planning'!R32+'3. Sales Planning'!X32</f>
        <v/>
      </c>
      <c r="E31" s="96">
        <f>'3. Sales Planning'!F32*'1. Product Setup'!C5+'3. Sales Planning'!L32*'1. Product Setup'!C6+'3. Sales Planning'!R32*'1. Product Setup'!C7+'3. Sales Planning'!X32*'1. Product Setup'!C8</f>
        <v/>
      </c>
      <c r="F31" s="96">
        <f>'3. Sales Planning'!F32*('1. Product Setup'!D5+'1. Product Setup'!E5+'1. Product Setup'!D5*'1. Product Setup'!F5)+'3. Sales Planning'!L32*('1. Product Setup'!D6+'1. Product Setup'!E6+'1. Product Setup'!D6*'1. Product Setup'!F6)+'3. Sales Planning'!R32*('1. Product Setup'!D7+'1. Product Setup'!E7+'1. Product Setup'!D7*'1. Product Setup'!F7)+'3. Sales Planning'!X32*('1. Product Setup'!D8+'1. Product Setup'!E8+'1. Product Setup'!D8*'1. Product Setup'!F8)</f>
        <v/>
      </c>
      <c r="G31" s="97">
        <f>E31-F31</f>
        <v/>
      </c>
      <c r="H31" s="98">
        <f>IF(E31=0,0,G31/E31)</f>
        <v/>
      </c>
      <c r="I31" s="96">
        <f>E31*0.15+'3. Sales Planning'!F32*'1. Product Setup'!H5+'3. Sales Planning'!L32*'1. Product Setup'!H6+'3. Sales Planning'!R32*'1. Product Setup'!H7+'3. Sales Planning'!X32*'1. Product Setup'!H8</f>
        <v/>
      </c>
      <c r="J31" s="96">
        <f>'3. Sales Planning'!F32*'1. Product Setup'!C5*'1. Product Setup'!G5+'3. Sales Planning'!L32*'1. Product Setup'!C6*'1. Product Setup'!G6+'3. Sales Planning'!R32*'1. Product Setup'!C7*'1. Product Setup'!G7+'3. Sales Planning'!X32*'1. Product Setup'!C8*'1. Product Setup'!G8</f>
        <v/>
      </c>
      <c r="K31" s="96">
        <f>'1. Product Setup'!C21</f>
        <v/>
      </c>
      <c r="L31" s="96">
        <f>I31+J31+K31</f>
        <v/>
      </c>
      <c r="M31" s="97">
        <f>G31-L31</f>
        <v/>
      </c>
      <c r="N31" s="162">
        <f>IF($B31="","",MONTH($B31))</f>
        <v/>
      </c>
      <c r="O31" s="162">
        <f>IF($B31="","",ROUNDUP(MONTH($B31)/3,0))</f>
        <v/>
      </c>
    </row>
    <row r="32" ht="19.5" customHeight="1" s="58">
      <c r="B32" s="83" t="n">
        <v>28</v>
      </c>
      <c r="C32" s="84" t="n">
        <v>45852</v>
      </c>
      <c r="D32" s="85">
        <f>'3. Sales Planning'!F33+'3. Sales Planning'!L33+'3. Sales Planning'!R33+'3. Sales Planning'!X33</f>
        <v/>
      </c>
      <c r="E32" s="96">
        <f>'3. Sales Planning'!F33*'1. Product Setup'!C5+'3. Sales Planning'!L33*'1. Product Setup'!C6+'3. Sales Planning'!R33*'1. Product Setup'!C7+'3. Sales Planning'!X33*'1. Product Setup'!C8</f>
        <v/>
      </c>
      <c r="F32" s="96">
        <f>'3. Sales Planning'!F33*('1. Product Setup'!D5+'1. Product Setup'!E5+'1. Product Setup'!D5*'1. Product Setup'!F5)+'3. Sales Planning'!L33*('1. Product Setup'!D6+'1. Product Setup'!E6+'1. Product Setup'!D6*'1. Product Setup'!F6)+'3. Sales Planning'!R33*('1. Product Setup'!D7+'1. Product Setup'!E7+'1. Product Setup'!D7*'1. Product Setup'!F7)+'3. Sales Planning'!X33*('1. Product Setup'!D8+'1. Product Setup'!E8+'1. Product Setup'!D8*'1. Product Setup'!F8)</f>
        <v/>
      </c>
      <c r="G32" s="97">
        <f>E32-F32</f>
        <v/>
      </c>
      <c r="H32" s="98">
        <f>IF(E32=0,0,G32/E32)</f>
        <v/>
      </c>
      <c r="I32" s="96">
        <f>E32*0.15+'3. Sales Planning'!F33*'1. Product Setup'!H5+'3. Sales Planning'!L33*'1. Product Setup'!H6+'3. Sales Planning'!R33*'1. Product Setup'!H7+'3. Sales Planning'!X33*'1. Product Setup'!H8</f>
        <v/>
      </c>
      <c r="J32" s="96">
        <f>'3. Sales Planning'!F33*'1. Product Setup'!C5*'1. Product Setup'!G5+'3. Sales Planning'!L33*'1. Product Setup'!C6*'1. Product Setup'!G6+'3. Sales Planning'!R33*'1. Product Setup'!C7*'1. Product Setup'!G7+'3. Sales Planning'!X33*'1. Product Setup'!C8*'1. Product Setup'!G8</f>
        <v/>
      </c>
      <c r="K32" s="96">
        <f>'1. Product Setup'!C21</f>
        <v/>
      </c>
      <c r="L32" s="96">
        <f>I32+J32+K32</f>
        <v/>
      </c>
      <c r="M32" s="97">
        <f>G32-L32</f>
        <v/>
      </c>
      <c r="N32" s="162">
        <f>IF($B32="","",MONTH($B32))</f>
        <v/>
      </c>
      <c r="O32" s="162">
        <f>IF($B32="","",ROUNDUP(MONTH($B32)/3,0))</f>
        <v/>
      </c>
    </row>
    <row r="33" ht="19.5" customHeight="1" s="58">
      <c r="B33" s="83" t="n">
        <v>29</v>
      </c>
      <c r="C33" s="84" t="n">
        <v>45859</v>
      </c>
      <c r="D33" s="85">
        <f>'3. Sales Planning'!F34+'3. Sales Planning'!L34+'3. Sales Planning'!R34+'3. Sales Planning'!X34</f>
        <v/>
      </c>
      <c r="E33" s="96">
        <f>'3. Sales Planning'!F34*'1. Product Setup'!C5+'3. Sales Planning'!L34*'1. Product Setup'!C6+'3. Sales Planning'!R34*'1. Product Setup'!C7+'3. Sales Planning'!X34*'1. Product Setup'!C8</f>
        <v/>
      </c>
      <c r="F33" s="96">
        <f>'3. Sales Planning'!F34*('1. Product Setup'!D5+'1. Product Setup'!E5+'1. Product Setup'!D5*'1. Product Setup'!F5)+'3. Sales Planning'!L34*('1. Product Setup'!D6+'1. Product Setup'!E6+'1. Product Setup'!D6*'1. Product Setup'!F6)+'3. Sales Planning'!R34*('1. Product Setup'!D7+'1. Product Setup'!E7+'1. Product Setup'!D7*'1. Product Setup'!F7)+'3. Sales Planning'!X34*('1. Product Setup'!D8+'1. Product Setup'!E8+'1. Product Setup'!D8*'1. Product Setup'!F8)</f>
        <v/>
      </c>
      <c r="G33" s="97">
        <f>E33-F33</f>
        <v/>
      </c>
      <c r="H33" s="98">
        <f>IF(E33=0,0,G33/E33)</f>
        <v/>
      </c>
      <c r="I33" s="96">
        <f>E33*0.15+'3. Sales Planning'!F34*'1. Product Setup'!H5+'3. Sales Planning'!L34*'1. Product Setup'!H6+'3. Sales Planning'!R34*'1. Product Setup'!H7+'3. Sales Planning'!X34*'1. Product Setup'!H8</f>
        <v/>
      </c>
      <c r="J33" s="96">
        <f>'3. Sales Planning'!F34*'1. Product Setup'!C5*'1. Product Setup'!G5+'3. Sales Planning'!L34*'1. Product Setup'!C6*'1. Product Setup'!G6+'3. Sales Planning'!R34*'1. Product Setup'!C7*'1. Product Setup'!G7+'3. Sales Planning'!X34*'1. Product Setup'!C8*'1. Product Setup'!G8</f>
        <v/>
      </c>
      <c r="K33" s="96">
        <f>'1. Product Setup'!C21</f>
        <v/>
      </c>
      <c r="L33" s="96">
        <f>I33+J33+K33</f>
        <v/>
      </c>
      <c r="M33" s="97">
        <f>G33-L33</f>
        <v/>
      </c>
      <c r="N33" s="162">
        <f>IF($B33="","",MONTH($B33))</f>
        <v/>
      </c>
      <c r="O33" s="162">
        <f>IF($B33="","",ROUNDUP(MONTH($B33)/3,0))</f>
        <v/>
      </c>
    </row>
    <row r="34" ht="19.5" customHeight="1" s="58">
      <c r="B34" s="83" t="n">
        <v>30</v>
      </c>
      <c r="C34" s="84" t="n">
        <v>45866</v>
      </c>
      <c r="D34" s="85">
        <f>'3. Sales Planning'!F35+'3. Sales Planning'!L35+'3. Sales Planning'!R35+'3. Sales Planning'!X35</f>
        <v/>
      </c>
      <c r="E34" s="96">
        <f>'3. Sales Planning'!F35*'1. Product Setup'!C5+'3. Sales Planning'!L35*'1. Product Setup'!C6+'3. Sales Planning'!R35*'1. Product Setup'!C7+'3. Sales Planning'!X35*'1. Product Setup'!C8</f>
        <v/>
      </c>
      <c r="F34" s="96">
        <f>'3. Sales Planning'!F35*('1. Product Setup'!D5+'1. Product Setup'!E5+'1. Product Setup'!D5*'1. Product Setup'!F5)+'3. Sales Planning'!L35*('1. Product Setup'!D6+'1. Product Setup'!E6+'1. Product Setup'!D6*'1. Product Setup'!F6)+'3. Sales Planning'!R35*('1. Product Setup'!D7+'1. Product Setup'!E7+'1. Product Setup'!D7*'1. Product Setup'!F7)+'3. Sales Planning'!X35*('1. Product Setup'!D8+'1. Product Setup'!E8+'1. Product Setup'!D8*'1. Product Setup'!F8)</f>
        <v/>
      </c>
      <c r="G34" s="97">
        <f>E34-F34</f>
        <v/>
      </c>
      <c r="H34" s="98">
        <f>IF(E34=0,0,G34/E34)</f>
        <v/>
      </c>
      <c r="I34" s="96">
        <f>E34*0.15+'3. Sales Planning'!F35*'1. Product Setup'!H5+'3. Sales Planning'!L35*'1. Product Setup'!H6+'3. Sales Planning'!R35*'1. Product Setup'!H7+'3. Sales Planning'!X35*'1. Product Setup'!H8</f>
        <v/>
      </c>
      <c r="J34" s="96">
        <f>'3. Sales Planning'!F35*'1. Product Setup'!C5*'1. Product Setup'!G5+'3. Sales Planning'!L35*'1. Product Setup'!C6*'1. Product Setup'!G6+'3. Sales Planning'!R35*'1. Product Setup'!C7*'1. Product Setup'!G7+'3. Sales Planning'!X35*'1. Product Setup'!C8*'1. Product Setup'!G8</f>
        <v/>
      </c>
      <c r="K34" s="96">
        <f>'1. Product Setup'!C21</f>
        <v/>
      </c>
      <c r="L34" s="96">
        <f>I34+J34+K34</f>
        <v/>
      </c>
      <c r="M34" s="97">
        <f>G34-L34</f>
        <v/>
      </c>
      <c r="N34" s="162">
        <f>IF($B34="","",MONTH($B34))</f>
        <v/>
      </c>
      <c r="O34" s="162">
        <f>IF($B34="","",ROUNDUP(MONTH($B34)/3,0))</f>
        <v/>
      </c>
    </row>
    <row r="35" ht="19.5" customHeight="1" s="58">
      <c r="B35" s="83" t="n">
        <v>31</v>
      </c>
      <c r="C35" s="84" t="n">
        <v>45873</v>
      </c>
      <c r="D35" s="85">
        <f>'3. Sales Planning'!F36+'3. Sales Planning'!L36+'3. Sales Planning'!R36+'3. Sales Planning'!X36</f>
        <v/>
      </c>
      <c r="E35" s="96">
        <f>'3. Sales Planning'!F36*'1. Product Setup'!C5+'3. Sales Planning'!L36*'1. Product Setup'!C6+'3. Sales Planning'!R36*'1. Product Setup'!C7+'3. Sales Planning'!X36*'1. Product Setup'!C8</f>
        <v/>
      </c>
      <c r="F35" s="96">
        <f>'3. Sales Planning'!F36*('1. Product Setup'!D5+'1. Product Setup'!E5+'1. Product Setup'!D5*'1. Product Setup'!F5)+'3. Sales Planning'!L36*('1. Product Setup'!D6+'1. Product Setup'!E6+'1. Product Setup'!D6*'1. Product Setup'!F6)+'3. Sales Planning'!R36*('1. Product Setup'!D7+'1. Product Setup'!E7+'1. Product Setup'!D7*'1. Product Setup'!F7)+'3. Sales Planning'!X36*('1. Product Setup'!D8+'1. Product Setup'!E8+'1. Product Setup'!D8*'1. Product Setup'!F8)</f>
        <v/>
      </c>
      <c r="G35" s="97">
        <f>E35-F35</f>
        <v/>
      </c>
      <c r="H35" s="98">
        <f>IF(E35=0,0,G35/E35)</f>
        <v/>
      </c>
      <c r="I35" s="96">
        <f>E35*0.15+'3. Sales Planning'!F36*'1. Product Setup'!H5+'3. Sales Planning'!L36*'1. Product Setup'!H6+'3. Sales Planning'!R36*'1. Product Setup'!H7+'3. Sales Planning'!X36*'1. Product Setup'!H8</f>
        <v/>
      </c>
      <c r="J35" s="96">
        <f>'3. Sales Planning'!F36*'1. Product Setup'!C5*'1. Product Setup'!G5+'3. Sales Planning'!L36*'1. Product Setup'!C6*'1. Product Setup'!G6+'3. Sales Planning'!R36*'1. Product Setup'!C7*'1. Product Setup'!G7+'3. Sales Planning'!X36*'1. Product Setup'!C8*'1. Product Setup'!G8</f>
        <v/>
      </c>
      <c r="K35" s="96">
        <f>'1. Product Setup'!C21</f>
        <v/>
      </c>
      <c r="L35" s="96">
        <f>I35+J35+K35</f>
        <v/>
      </c>
      <c r="M35" s="97">
        <f>G35-L35</f>
        <v/>
      </c>
      <c r="N35" s="162">
        <f>IF($B35="","",MONTH($B35))</f>
        <v/>
      </c>
      <c r="O35" s="162">
        <f>IF($B35="","",ROUNDUP(MONTH($B35)/3,0))</f>
        <v/>
      </c>
    </row>
    <row r="36" ht="19.5" customHeight="1" s="58">
      <c r="B36" s="83" t="n">
        <v>32</v>
      </c>
      <c r="C36" s="84" t="n">
        <v>45880</v>
      </c>
      <c r="D36" s="85">
        <f>'3. Sales Planning'!F37+'3. Sales Planning'!L37+'3. Sales Planning'!R37+'3. Sales Planning'!X37</f>
        <v/>
      </c>
      <c r="E36" s="96">
        <f>'3. Sales Planning'!F37*'1. Product Setup'!C5+'3. Sales Planning'!L37*'1. Product Setup'!C6+'3. Sales Planning'!R37*'1. Product Setup'!C7+'3. Sales Planning'!X37*'1. Product Setup'!C8</f>
        <v/>
      </c>
      <c r="F36" s="96">
        <f>'3. Sales Planning'!F37*('1. Product Setup'!D5+'1. Product Setup'!E5+'1. Product Setup'!D5*'1. Product Setup'!F5)+'3. Sales Planning'!L37*('1. Product Setup'!D6+'1. Product Setup'!E6+'1. Product Setup'!D6*'1. Product Setup'!F6)+'3. Sales Planning'!R37*('1. Product Setup'!D7+'1. Product Setup'!E7+'1. Product Setup'!D7*'1. Product Setup'!F7)+'3. Sales Planning'!X37*('1. Product Setup'!D8+'1. Product Setup'!E8+'1. Product Setup'!D8*'1. Product Setup'!F8)</f>
        <v/>
      </c>
      <c r="G36" s="97">
        <f>E36-F36</f>
        <v/>
      </c>
      <c r="H36" s="98">
        <f>IF(E36=0,0,G36/E36)</f>
        <v/>
      </c>
      <c r="I36" s="96">
        <f>E36*0.15+'3. Sales Planning'!F37*'1. Product Setup'!H5+'3. Sales Planning'!L37*'1. Product Setup'!H6+'3. Sales Planning'!R37*'1. Product Setup'!H7+'3. Sales Planning'!X37*'1. Product Setup'!H8</f>
        <v/>
      </c>
      <c r="J36" s="96">
        <f>'3. Sales Planning'!F37*'1. Product Setup'!C5*'1. Product Setup'!G5+'3. Sales Planning'!L37*'1. Product Setup'!C6*'1. Product Setup'!G6+'3. Sales Planning'!R37*'1. Product Setup'!C7*'1. Product Setup'!G7+'3. Sales Planning'!X37*'1. Product Setup'!C8*'1. Product Setup'!G8</f>
        <v/>
      </c>
      <c r="K36" s="96">
        <f>'1. Product Setup'!C21</f>
        <v/>
      </c>
      <c r="L36" s="96">
        <f>I36+J36+K36</f>
        <v/>
      </c>
      <c r="M36" s="97">
        <f>G36-L36</f>
        <v/>
      </c>
      <c r="N36" s="162">
        <f>IF($B36="","",MONTH($B36))</f>
        <v/>
      </c>
      <c r="O36" s="162">
        <f>IF($B36="","",ROUNDUP(MONTH($B36)/3,0))</f>
        <v/>
      </c>
    </row>
    <row r="37" ht="19.5" customHeight="1" s="58">
      <c r="B37" s="83" t="n">
        <v>33</v>
      </c>
      <c r="C37" s="84" t="n">
        <v>45887</v>
      </c>
      <c r="D37" s="85">
        <f>'3. Sales Planning'!F38+'3. Sales Planning'!L38+'3. Sales Planning'!R38+'3. Sales Planning'!X38</f>
        <v/>
      </c>
      <c r="E37" s="96">
        <f>'3. Sales Planning'!F38*'1. Product Setup'!C5+'3. Sales Planning'!L38*'1. Product Setup'!C6+'3. Sales Planning'!R38*'1. Product Setup'!C7+'3. Sales Planning'!X38*'1. Product Setup'!C8</f>
        <v/>
      </c>
      <c r="F37" s="96">
        <f>'3. Sales Planning'!F38*('1. Product Setup'!D5+'1. Product Setup'!E5+'1. Product Setup'!D5*'1. Product Setup'!F5)+'3. Sales Planning'!L38*('1. Product Setup'!D6+'1. Product Setup'!E6+'1. Product Setup'!D6*'1. Product Setup'!F6)+'3. Sales Planning'!R38*('1. Product Setup'!D7+'1. Product Setup'!E7+'1. Product Setup'!D7*'1. Product Setup'!F7)+'3. Sales Planning'!X38*('1. Product Setup'!D8+'1. Product Setup'!E8+'1. Product Setup'!D8*'1. Product Setup'!F8)</f>
        <v/>
      </c>
      <c r="G37" s="97">
        <f>E37-F37</f>
        <v/>
      </c>
      <c r="H37" s="98">
        <f>IF(E37=0,0,G37/E37)</f>
        <v/>
      </c>
      <c r="I37" s="96">
        <f>E37*0.15+'3. Sales Planning'!F38*'1. Product Setup'!H5+'3. Sales Planning'!L38*'1. Product Setup'!H6+'3. Sales Planning'!R38*'1. Product Setup'!H7+'3. Sales Planning'!X38*'1. Product Setup'!H8</f>
        <v/>
      </c>
      <c r="J37" s="96">
        <f>'3. Sales Planning'!F38*'1. Product Setup'!C5*'1. Product Setup'!G5+'3. Sales Planning'!L38*'1. Product Setup'!C6*'1. Product Setup'!G6+'3. Sales Planning'!R38*'1. Product Setup'!C7*'1. Product Setup'!G7+'3. Sales Planning'!X38*'1. Product Setup'!C8*'1. Product Setup'!G8</f>
        <v/>
      </c>
      <c r="K37" s="96">
        <f>'1. Product Setup'!C21</f>
        <v/>
      </c>
      <c r="L37" s="96">
        <f>I37+J37+K37</f>
        <v/>
      </c>
      <c r="M37" s="97">
        <f>G37-L37</f>
        <v/>
      </c>
      <c r="N37" s="162">
        <f>IF($B37="","",MONTH($B37))</f>
        <v/>
      </c>
      <c r="O37" s="162">
        <f>IF($B37="","",ROUNDUP(MONTH($B37)/3,0))</f>
        <v/>
      </c>
    </row>
    <row r="38" ht="19.5" customHeight="1" s="58">
      <c r="B38" s="83" t="n">
        <v>34</v>
      </c>
      <c r="C38" s="84" t="n">
        <v>45894</v>
      </c>
      <c r="D38" s="85">
        <f>'3. Sales Planning'!F39+'3. Sales Planning'!L39+'3. Sales Planning'!R39+'3. Sales Planning'!X39</f>
        <v/>
      </c>
      <c r="E38" s="96">
        <f>'3. Sales Planning'!F39*'1. Product Setup'!C5+'3. Sales Planning'!L39*'1. Product Setup'!C6+'3. Sales Planning'!R39*'1. Product Setup'!C7+'3. Sales Planning'!X39*'1. Product Setup'!C8</f>
        <v/>
      </c>
      <c r="F38" s="96">
        <f>'3. Sales Planning'!F39*('1. Product Setup'!D5+'1. Product Setup'!E5+'1. Product Setup'!D5*'1. Product Setup'!F5)+'3. Sales Planning'!L39*('1. Product Setup'!D6+'1. Product Setup'!E6+'1. Product Setup'!D6*'1. Product Setup'!F6)+'3. Sales Planning'!R39*('1. Product Setup'!D7+'1. Product Setup'!E7+'1. Product Setup'!D7*'1. Product Setup'!F7)+'3. Sales Planning'!X39*('1. Product Setup'!D8+'1. Product Setup'!E8+'1. Product Setup'!D8*'1. Product Setup'!F8)</f>
        <v/>
      </c>
      <c r="G38" s="97">
        <f>E38-F38</f>
        <v/>
      </c>
      <c r="H38" s="98">
        <f>IF(E38=0,0,G38/E38)</f>
        <v/>
      </c>
      <c r="I38" s="96">
        <f>E38*0.15+'3. Sales Planning'!F39*'1. Product Setup'!H5+'3. Sales Planning'!L39*'1. Product Setup'!H6+'3. Sales Planning'!R39*'1. Product Setup'!H7+'3. Sales Planning'!X39*'1. Product Setup'!H8</f>
        <v/>
      </c>
      <c r="J38" s="96">
        <f>'3. Sales Planning'!F39*'1. Product Setup'!C5*'1. Product Setup'!G5+'3. Sales Planning'!L39*'1. Product Setup'!C6*'1. Product Setup'!G6+'3. Sales Planning'!R39*'1. Product Setup'!C7*'1. Product Setup'!G7+'3. Sales Planning'!X39*'1. Product Setup'!C8*'1. Product Setup'!G8</f>
        <v/>
      </c>
      <c r="K38" s="96">
        <f>'1. Product Setup'!C21</f>
        <v/>
      </c>
      <c r="L38" s="96">
        <f>I38+J38+K38</f>
        <v/>
      </c>
      <c r="M38" s="97">
        <f>G38-L38</f>
        <v/>
      </c>
      <c r="N38" s="162">
        <f>IF($B38="","",MONTH($B38))</f>
        <v/>
      </c>
      <c r="O38" s="162">
        <f>IF($B38="","",ROUNDUP(MONTH($B38)/3,0))</f>
        <v/>
      </c>
    </row>
    <row r="39" ht="19.5" customHeight="1" s="58">
      <c r="B39" s="83" t="n">
        <v>35</v>
      </c>
      <c r="C39" s="84" t="n">
        <v>45901</v>
      </c>
      <c r="D39" s="85">
        <f>'3. Sales Planning'!F40+'3. Sales Planning'!L40+'3. Sales Planning'!R40+'3. Sales Planning'!X40</f>
        <v/>
      </c>
      <c r="E39" s="96">
        <f>'3. Sales Planning'!F40*'1. Product Setup'!C5+'3. Sales Planning'!L40*'1. Product Setup'!C6+'3. Sales Planning'!R40*'1. Product Setup'!C7+'3. Sales Planning'!X40*'1. Product Setup'!C8</f>
        <v/>
      </c>
      <c r="F39" s="96">
        <f>'3. Sales Planning'!F40*('1. Product Setup'!D5+'1. Product Setup'!E5+'1. Product Setup'!D5*'1. Product Setup'!F5)+'3. Sales Planning'!L40*('1. Product Setup'!D6+'1. Product Setup'!E6+'1. Product Setup'!D6*'1. Product Setup'!F6)+'3. Sales Planning'!R40*('1. Product Setup'!D7+'1. Product Setup'!E7+'1. Product Setup'!D7*'1. Product Setup'!F7)+'3. Sales Planning'!X40*('1. Product Setup'!D8+'1. Product Setup'!E8+'1. Product Setup'!D8*'1. Product Setup'!F8)</f>
        <v/>
      </c>
      <c r="G39" s="97">
        <f>E39-F39</f>
        <v/>
      </c>
      <c r="H39" s="98">
        <f>IF(E39=0,0,G39/E39)</f>
        <v/>
      </c>
      <c r="I39" s="96">
        <f>E39*0.15+'3. Sales Planning'!F40*'1. Product Setup'!H5+'3. Sales Planning'!L40*'1. Product Setup'!H6+'3. Sales Planning'!R40*'1. Product Setup'!H7+'3. Sales Planning'!X40*'1. Product Setup'!H8</f>
        <v/>
      </c>
      <c r="J39" s="96">
        <f>'3. Sales Planning'!F40*'1. Product Setup'!C5*'1. Product Setup'!G5+'3. Sales Planning'!L40*'1. Product Setup'!C6*'1. Product Setup'!G6+'3. Sales Planning'!R40*'1. Product Setup'!C7*'1. Product Setup'!G7+'3. Sales Planning'!X40*'1. Product Setup'!C8*'1. Product Setup'!G8</f>
        <v/>
      </c>
      <c r="K39" s="96">
        <f>'1. Product Setup'!C21</f>
        <v/>
      </c>
      <c r="L39" s="96">
        <f>I39+J39+K39</f>
        <v/>
      </c>
      <c r="M39" s="97">
        <f>G39-L39</f>
        <v/>
      </c>
      <c r="N39" s="162">
        <f>IF($B39="","",MONTH($B39))</f>
        <v/>
      </c>
      <c r="O39" s="162">
        <f>IF($B39="","",ROUNDUP(MONTH($B39)/3,0))</f>
        <v/>
      </c>
    </row>
    <row r="40" ht="19.5" customHeight="1" s="58">
      <c r="B40" s="83" t="n">
        <v>36</v>
      </c>
      <c r="C40" s="84" t="n">
        <v>45908</v>
      </c>
      <c r="D40" s="85">
        <f>'3. Sales Planning'!F41+'3. Sales Planning'!L41+'3. Sales Planning'!R41+'3. Sales Planning'!X41</f>
        <v/>
      </c>
      <c r="E40" s="96">
        <f>'3. Sales Planning'!F41*'1. Product Setup'!C5+'3. Sales Planning'!L41*'1. Product Setup'!C6+'3. Sales Planning'!R41*'1. Product Setup'!C7+'3. Sales Planning'!X41*'1. Product Setup'!C8</f>
        <v/>
      </c>
      <c r="F40" s="96">
        <f>'3. Sales Planning'!F41*('1. Product Setup'!D5+'1. Product Setup'!E5+'1. Product Setup'!D5*'1. Product Setup'!F5)+'3. Sales Planning'!L41*('1. Product Setup'!D6+'1. Product Setup'!E6+'1. Product Setup'!D6*'1. Product Setup'!F6)+'3. Sales Planning'!R41*('1. Product Setup'!D7+'1. Product Setup'!E7+'1. Product Setup'!D7*'1. Product Setup'!F7)+'3. Sales Planning'!X41*('1. Product Setup'!D8+'1. Product Setup'!E8+'1. Product Setup'!D8*'1. Product Setup'!F8)</f>
        <v/>
      </c>
      <c r="G40" s="97">
        <f>E40-F40</f>
        <v/>
      </c>
      <c r="H40" s="98">
        <f>IF(E40=0,0,G40/E40)</f>
        <v/>
      </c>
      <c r="I40" s="96">
        <f>E40*0.15+'3. Sales Planning'!F41*'1. Product Setup'!H5+'3. Sales Planning'!L41*'1. Product Setup'!H6+'3. Sales Planning'!R41*'1. Product Setup'!H7+'3. Sales Planning'!X41*'1. Product Setup'!H8</f>
        <v/>
      </c>
      <c r="J40" s="96">
        <f>'3. Sales Planning'!F41*'1. Product Setup'!C5*'1. Product Setup'!G5+'3. Sales Planning'!L41*'1. Product Setup'!C6*'1. Product Setup'!G6+'3. Sales Planning'!R41*'1. Product Setup'!C7*'1. Product Setup'!G7+'3. Sales Planning'!X41*'1. Product Setup'!C8*'1. Product Setup'!G8</f>
        <v/>
      </c>
      <c r="K40" s="96">
        <f>'1. Product Setup'!C21</f>
        <v/>
      </c>
      <c r="L40" s="96">
        <f>I40+J40+K40</f>
        <v/>
      </c>
      <c r="M40" s="97">
        <f>G40-L40</f>
        <v/>
      </c>
      <c r="N40" s="162">
        <f>IF($B40="","",MONTH($B40))</f>
        <v/>
      </c>
      <c r="O40" s="162">
        <f>IF($B40="","",ROUNDUP(MONTH($B40)/3,0))</f>
        <v/>
      </c>
    </row>
    <row r="41" ht="19.5" customHeight="1" s="58">
      <c r="B41" s="89" t="n">
        <v>37</v>
      </c>
      <c r="C41" s="90" t="n">
        <v>45915</v>
      </c>
      <c r="D41" s="91">
        <f>'3. Sales Planning'!F42+'3. Sales Planning'!L42+'3. Sales Planning'!R42+'3. Sales Planning'!X42</f>
        <v/>
      </c>
      <c r="E41" s="99">
        <f>'3. Sales Planning'!F42*'1. Product Setup'!C5+'3. Sales Planning'!L42*'1. Product Setup'!C6+'3. Sales Planning'!R42*'1. Product Setup'!C7+'3. Sales Planning'!X42*'1. Product Setup'!C8</f>
        <v/>
      </c>
      <c r="F41" s="99">
        <f>'3. Sales Planning'!F42*('1. Product Setup'!D5+'1. Product Setup'!E5+'1. Product Setup'!D5*'1. Product Setup'!F5)+'3. Sales Planning'!L42*('1. Product Setup'!D6+'1. Product Setup'!E6+'1. Product Setup'!D6*'1. Product Setup'!F6)+'3. Sales Planning'!R42*('1. Product Setup'!D7+'1. Product Setup'!E7+'1. Product Setup'!D7*'1. Product Setup'!F7)+'3. Sales Planning'!X42*('1. Product Setup'!D8+'1. Product Setup'!E8+'1. Product Setup'!D8*'1. Product Setup'!F8)</f>
        <v/>
      </c>
      <c r="G41" s="100">
        <f>E41-F41</f>
        <v/>
      </c>
      <c r="H41" s="101">
        <f>IF(E41=0,0,G41/E41)</f>
        <v/>
      </c>
      <c r="I41" s="99">
        <f>E41*0.15+'3. Sales Planning'!F42*'1. Product Setup'!H5+'3. Sales Planning'!L42*'1. Product Setup'!H6+'3. Sales Planning'!R42*'1. Product Setup'!H7+'3. Sales Planning'!X42*'1. Product Setup'!H8</f>
        <v/>
      </c>
      <c r="J41" s="99">
        <f>'3. Sales Planning'!F42*'1. Product Setup'!C5*'1. Product Setup'!G5+'3. Sales Planning'!L42*'1. Product Setup'!C6*'1. Product Setup'!G6+'3. Sales Planning'!R42*'1. Product Setup'!C7*'1. Product Setup'!G7+'3. Sales Planning'!X42*'1. Product Setup'!C8*'1. Product Setup'!G8</f>
        <v/>
      </c>
      <c r="K41" s="99">
        <f>'1. Product Setup'!C21</f>
        <v/>
      </c>
      <c r="L41" s="99">
        <f>I41+J41+K41</f>
        <v/>
      </c>
      <c r="M41" s="100">
        <f>G41-L41</f>
        <v/>
      </c>
      <c r="N41" s="162">
        <f>IF($B41="","",MONTH($B41))</f>
        <v/>
      </c>
      <c r="O41" s="162">
        <f>IF($B41="","",ROUNDUP(MONTH($B41)/3,0))</f>
        <v/>
      </c>
    </row>
    <row r="42" ht="19.5" customHeight="1" s="58">
      <c r="B42" s="83" t="n">
        <v>38</v>
      </c>
      <c r="C42" s="84" t="n">
        <v>45922</v>
      </c>
      <c r="D42" s="85">
        <f>'3. Sales Planning'!F43+'3. Sales Planning'!L43+'3. Sales Planning'!R43+'3. Sales Planning'!X43</f>
        <v/>
      </c>
      <c r="E42" s="96">
        <f>'3. Sales Planning'!F43*'1. Product Setup'!C5+'3. Sales Planning'!L43*'1. Product Setup'!C6+'3. Sales Planning'!R43*'1. Product Setup'!C7+'3. Sales Planning'!X43*'1. Product Setup'!C8</f>
        <v/>
      </c>
      <c r="F42" s="96">
        <f>'3. Sales Planning'!F43*('1. Product Setup'!D5+'1. Product Setup'!E5+'1. Product Setup'!D5*'1. Product Setup'!F5)+'3. Sales Planning'!L43*('1. Product Setup'!D6+'1. Product Setup'!E6+'1. Product Setup'!D6*'1. Product Setup'!F6)+'3. Sales Planning'!R43*('1. Product Setup'!D7+'1. Product Setup'!E7+'1. Product Setup'!D7*'1. Product Setup'!F7)+'3. Sales Planning'!X43*('1. Product Setup'!D8+'1. Product Setup'!E8+'1. Product Setup'!D8*'1. Product Setup'!F8)</f>
        <v/>
      </c>
      <c r="G42" s="97">
        <f>E42-F42</f>
        <v/>
      </c>
      <c r="H42" s="98">
        <f>IF(E42=0,0,G42/E42)</f>
        <v/>
      </c>
      <c r="I42" s="96">
        <f>E42*0.15+'3. Sales Planning'!F43*'1. Product Setup'!H5+'3. Sales Planning'!L43*'1. Product Setup'!H6+'3. Sales Planning'!R43*'1. Product Setup'!H7+'3. Sales Planning'!X43*'1. Product Setup'!H8</f>
        <v/>
      </c>
      <c r="J42" s="96">
        <f>'3. Sales Planning'!F43*'1. Product Setup'!C5*'1. Product Setup'!G5+'3. Sales Planning'!L43*'1. Product Setup'!C6*'1. Product Setup'!G6+'3. Sales Planning'!R43*'1. Product Setup'!C7*'1. Product Setup'!G7+'3. Sales Planning'!X43*'1. Product Setup'!C8*'1. Product Setup'!G8</f>
        <v/>
      </c>
      <c r="K42" s="96">
        <f>'1. Product Setup'!C21</f>
        <v/>
      </c>
      <c r="L42" s="96">
        <f>I42+J42+K42</f>
        <v/>
      </c>
      <c r="M42" s="97">
        <f>G42-L42</f>
        <v/>
      </c>
      <c r="N42" s="162">
        <f>IF($B42="","",MONTH($B42))</f>
        <v/>
      </c>
      <c r="O42" s="162">
        <f>IF($B42="","",ROUNDUP(MONTH($B42)/3,0))</f>
        <v/>
      </c>
    </row>
    <row r="43" ht="19.5" customHeight="1" s="58">
      <c r="B43" s="83" t="n">
        <v>39</v>
      </c>
      <c r="C43" s="84" t="n">
        <v>45929</v>
      </c>
      <c r="D43" s="85">
        <f>'3. Sales Planning'!F44+'3. Sales Planning'!L44+'3. Sales Planning'!R44+'3. Sales Planning'!X44</f>
        <v/>
      </c>
      <c r="E43" s="96">
        <f>'3. Sales Planning'!F44*'1. Product Setup'!C5+'3. Sales Planning'!L44*'1. Product Setup'!C6+'3. Sales Planning'!R44*'1. Product Setup'!C7+'3. Sales Planning'!X44*'1. Product Setup'!C8</f>
        <v/>
      </c>
      <c r="F43" s="96">
        <f>'3. Sales Planning'!F44*('1. Product Setup'!D5+'1. Product Setup'!E5+'1. Product Setup'!D5*'1. Product Setup'!F5)+'3. Sales Planning'!L44*('1. Product Setup'!D6+'1. Product Setup'!E6+'1. Product Setup'!D6*'1. Product Setup'!F6)+'3. Sales Planning'!R44*('1. Product Setup'!D7+'1. Product Setup'!E7+'1. Product Setup'!D7*'1. Product Setup'!F7)+'3. Sales Planning'!X44*('1. Product Setup'!D8+'1. Product Setup'!E8+'1. Product Setup'!D8*'1. Product Setup'!F8)</f>
        <v/>
      </c>
      <c r="G43" s="97">
        <f>E43-F43</f>
        <v/>
      </c>
      <c r="H43" s="98">
        <f>IF(E43=0,0,G43/E43)</f>
        <v/>
      </c>
      <c r="I43" s="96">
        <f>E43*0.15+'3. Sales Planning'!F44*'1. Product Setup'!H5+'3. Sales Planning'!L44*'1. Product Setup'!H6+'3. Sales Planning'!R44*'1. Product Setup'!H7+'3. Sales Planning'!X44*'1. Product Setup'!H8</f>
        <v/>
      </c>
      <c r="J43" s="96">
        <f>'3. Sales Planning'!F44*'1. Product Setup'!C5*'1. Product Setup'!G5+'3. Sales Planning'!L44*'1. Product Setup'!C6*'1. Product Setup'!G6+'3. Sales Planning'!R44*'1. Product Setup'!C7*'1. Product Setup'!G7+'3. Sales Planning'!X44*'1. Product Setup'!C8*'1. Product Setup'!G8</f>
        <v/>
      </c>
      <c r="K43" s="96">
        <f>'1. Product Setup'!C21</f>
        <v/>
      </c>
      <c r="L43" s="96">
        <f>I43+J43+K43</f>
        <v/>
      </c>
      <c r="M43" s="97">
        <f>G43-L43</f>
        <v/>
      </c>
      <c r="N43" s="162">
        <f>IF($B43="","",MONTH($B43))</f>
        <v/>
      </c>
      <c r="O43" s="162">
        <f>IF($B43="","",ROUNDUP(MONTH($B43)/3,0))</f>
        <v/>
      </c>
    </row>
    <row r="44" ht="19.5" customHeight="1" s="58">
      <c r="B44" s="83" t="n">
        <v>40</v>
      </c>
      <c r="C44" s="84" t="n">
        <v>45936</v>
      </c>
      <c r="D44" s="85">
        <f>'3. Sales Planning'!F45+'3. Sales Planning'!L45+'3. Sales Planning'!R45+'3. Sales Planning'!X45</f>
        <v/>
      </c>
      <c r="E44" s="96">
        <f>'3. Sales Planning'!F45*'1. Product Setup'!C5+'3. Sales Planning'!L45*'1. Product Setup'!C6+'3. Sales Planning'!R45*'1. Product Setup'!C7+'3. Sales Planning'!X45*'1. Product Setup'!C8</f>
        <v/>
      </c>
      <c r="F44" s="96">
        <f>'3. Sales Planning'!F45*('1. Product Setup'!D5+'1. Product Setup'!E5+'1. Product Setup'!D5*'1. Product Setup'!F5)+'3. Sales Planning'!L45*('1. Product Setup'!D6+'1. Product Setup'!E6+'1. Product Setup'!D6*'1. Product Setup'!F6)+'3. Sales Planning'!R45*('1. Product Setup'!D7+'1. Product Setup'!E7+'1. Product Setup'!D7*'1. Product Setup'!F7)+'3. Sales Planning'!X45*('1. Product Setup'!D8+'1. Product Setup'!E8+'1. Product Setup'!D8*'1. Product Setup'!F8)</f>
        <v/>
      </c>
      <c r="G44" s="97">
        <f>E44-F44</f>
        <v/>
      </c>
      <c r="H44" s="98">
        <f>IF(E44=0,0,G44/E44)</f>
        <v/>
      </c>
      <c r="I44" s="96">
        <f>E44*0.15+'3. Sales Planning'!F45*'1. Product Setup'!H5+'3. Sales Planning'!L45*'1. Product Setup'!H6+'3. Sales Planning'!R45*'1. Product Setup'!H7+'3. Sales Planning'!X45*'1. Product Setup'!H8</f>
        <v/>
      </c>
      <c r="J44" s="96">
        <f>'3. Sales Planning'!F45*'1. Product Setup'!C5*'1. Product Setup'!G5+'3. Sales Planning'!L45*'1. Product Setup'!C6*'1. Product Setup'!G6+'3. Sales Planning'!R45*'1. Product Setup'!C7*'1. Product Setup'!G7+'3. Sales Planning'!X45*'1. Product Setup'!C8*'1. Product Setup'!G8</f>
        <v/>
      </c>
      <c r="K44" s="96">
        <f>'1. Product Setup'!C21</f>
        <v/>
      </c>
      <c r="L44" s="96">
        <f>I44+J44+K44</f>
        <v/>
      </c>
      <c r="M44" s="97">
        <f>G44-L44</f>
        <v/>
      </c>
      <c r="N44" s="162">
        <f>IF($B44="","",MONTH($B44))</f>
        <v/>
      </c>
      <c r="O44" s="162">
        <f>IF($B44="","",ROUNDUP(MONTH($B44)/3,0))</f>
        <v/>
      </c>
    </row>
    <row r="45" ht="19.5" customHeight="1" s="58">
      <c r="B45" s="83" t="n">
        <v>41</v>
      </c>
      <c r="C45" s="84" t="n">
        <v>45943</v>
      </c>
      <c r="D45" s="85">
        <f>'3. Sales Planning'!F46+'3. Sales Planning'!L46+'3. Sales Planning'!R46+'3. Sales Planning'!X46</f>
        <v/>
      </c>
      <c r="E45" s="96">
        <f>'3. Sales Planning'!F46*'1. Product Setup'!C5+'3. Sales Planning'!L46*'1. Product Setup'!C6+'3. Sales Planning'!R46*'1. Product Setup'!C7+'3. Sales Planning'!X46*'1. Product Setup'!C8</f>
        <v/>
      </c>
      <c r="F45" s="96">
        <f>'3. Sales Planning'!F46*('1. Product Setup'!D5+'1. Product Setup'!E5+'1. Product Setup'!D5*'1. Product Setup'!F5)+'3. Sales Planning'!L46*('1. Product Setup'!D6+'1. Product Setup'!E6+'1. Product Setup'!D6*'1. Product Setup'!F6)+'3. Sales Planning'!R46*('1. Product Setup'!D7+'1. Product Setup'!E7+'1. Product Setup'!D7*'1. Product Setup'!F7)+'3. Sales Planning'!X46*('1. Product Setup'!D8+'1. Product Setup'!E8+'1. Product Setup'!D8*'1. Product Setup'!F8)</f>
        <v/>
      </c>
      <c r="G45" s="97">
        <f>E45-F45</f>
        <v/>
      </c>
      <c r="H45" s="98">
        <f>IF(E45=0,0,G45/E45)</f>
        <v/>
      </c>
      <c r="I45" s="96">
        <f>E45*0.15+'3. Sales Planning'!F46*'1. Product Setup'!H5+'3. Sales Planning'!L46*'1. Product Setup'!H6+'3. Sales Planning'!R46*'1. Product Setup'!H7+'3. Sales Planning'!X46*'1. Product Setup'!H8</f>
        <v/>
      </c>
      <c r="J45" s="96">
        <f>'3. Sales Planning'!F46*'1. Product Setup'!C5*'1. Product Setup'!G5+'3. Sales Planning'!L46*'1. Product Setup'!C6*'1. Product Setup'!G6+'3. Sales Planning'!R46*'1. Product Setup'!C7*'1. Product Setup'!G7+'3. Sales Planning'!X46*'1. Product Setup'!C8*'1. Product Setup'!G8</f>
        <v/>
      </c>
      <c r="K45" s="96">
        <f>'1. Product Setup'!C21</f>
        <v/>
      </c>
      <c r="L45" s="96">
        <f>I45+J45+K45</f>
        <v/>
      </c>
      <c r="M45" s="97">
        <f>G45-L45</f>
        <v/>
      </c>
      <c r="N45" s="162">
        <f>IF($B45="","",MONTH($B45))</f>
        <v/>
      </c>
      <c r="O45" s="162">
        <f>IF($B45="","",ROUNDUP(MONTH($B45)/3,0))</f>
        <v/>
      </c>
    </row>
    <row r="46" ht="19.5" customHeight="1" s="58">
      <c r="B46" s="83" t="n">
        <v>42</v>
      </c>
      <c r="C46" s="84" t="n">
        <v>45950</v>
      </c>
      <c r="D46" s="85">
        <f>'3. Sales Planning'!F47+'3. Sales Planning'!L47+'3. Sales Planning'!R47+'3. Sales Planning'!X47</f>
        <v/>
      </c>
      <c r="E46" s="96">
        <f>'3. Sales Planning'!F47*'1. Product Setup'!C5+'3. Sales Planning'!L47*'1. Product Setup'!C6+'3. Sales Planning'!R47*'1. Product Setup'!C7+'3. Sales Planning'!X47*'1. Product Setup'!C8</f>
        <v/>
      </c>
      <c r="F46" s="96">
        <f>'3. Sales Planning'!F47*('1. Product Setup'!D5+'1. Product Setup'!E5+'1. Product Setup'!D5*'1. Product Setup'!F5)+'3. Sales Planning'!L47*('1. Product Setup'!D6+'1. Product Setup'!E6+'1. Product Setup'!D6*'1. Product Setup'!F6)+'3. Sales Planning'!R47*('1. Product Setup'!D7+'1. Product Setup'!E7+'1. Product Setup'!D7*'1. Product Setup'!F7)+'3. Sales Planning'!X47*('1. Product Setup'!D8+'1. Product Setup'!E8+'1. Product Setup'!D8*'1. Product Setup'!F8)</f>
        <v/>
      </c>
      <c r="G46" s="97">
        <f>E46-F46</f>
        <v/>
      </c>
      <c r="H46" s="98">
        <f>IF(E46=0,0,G46/E46)</f>
        <v/>
      </c>
      <c r="I46" s="96">
        <f>E46*0.15+'3. Sales Planning'!F47*'1. Product Setup'!H5+'3. Sales Planning'!L47*'1. Product Setup'!H6+'3. Sales Planning'!R47*'1. Product Setup'!H7+'3. Sales Planning'!X47*'1. Product Setup'!H8</f>
        <v/>
      </c>
      <c r="J46" s="96">
        <f>'3. Sales Planning'!F47*'1. Product Setup'!C5*'1. Product Setup'!G5+'3. Sales Planning'!L47*'1. Product Setup'!C6*'1. Product Setup'!G6+'3. Sales Planning'!R47*'1. Product Setup'!C7*'1. Product Setup'!G7+'3. Sales Planning'!X47*'1. Product Setup'!C8*'1. Product Setup'!G8</f>
        <v/>
      </c>
      <c r="K46" s="96">
        <f>'1. Product Setup'!C21</f>
        <v/>
      </c>
      <c r="L46" s="96">
        <f>I46+J46+K46</f>
        <v/>
      </c>
      <c r="M46" s="97">
        <f>G46-L46</f>
        <v/>
      </c>
      <c r="N46" s="162">
        <f>IF($B46="","",MONTH($B46))</f>
        <v/>
      </c>
      <c r="O46" s="162">
        <f>IF($B46="","",ROUNDUP(MONTH($B46)/3,0))</f>
        <v/>
      </c>
    </row>
    <row r="47" ht="19.5" customHeight="1" s="58">
      <c r="B47" s="83" t="n">
        <v>43</v>
      </c>
      <c r="C47" s="84" t="n">
        <v>45957</v>
      </c>
      <c r="D47" s="85">
        <f>'3. Sales Planning'!F48+'3. Sales Planning'!L48+'3. Sales Planning'!R48+'3. Sales Planning'!X48</f>
        <v/>
      </c>
      <c r="E47" s="96">
        <f>'3. Sales Planning'!F48*'1. Product Setup'!C5+'3. Sales Planning'!L48*'1. Product Setup'!C6+'3. Sales Planning'!R48*'1. Product Setup'!C7+'3. Sales Planning'!X48*'1. Product Setup'!C8</f>
        <v/>
      </c>
      <c r="F47" s="96">
        <f>'3. Sales Planning'!F48*('1. Product Setup'!D5+'1. Product Setup'!E5+'1. Product Setup'!D5*'1. Product Setup'!F5)+'3. Sales Planning'!L48*('1. Product Setup'!D6+'1. Product Setup'!E6+'1. Product Setup'!D6*'1. Product Setup'!F6)+'3. Sales Planning'!R48*('1. Product Setup'!D7+'1. Product Setup'!E7+'1. Product Setup'!D7*'1. Product Setup'!F7)+'3. Sales Planning'!X48*('1. Product Setup'!D8+'1. Product Setup'!E8+'1. Product Setup'!D8*'1. Product Setup'!F8)</f>
        <v/>
      </c>
      <c r="G47" s="97">
        <f>E47-F47</f>
        <v/>
      </c>
      <c r="H47" s="98">
        <f>IF(E47=0,0,G47/E47)</f>
        <v/>
      </c>
      <c r="I47" s="96">
        <f>E47*0.15+'3. Sales Planning'!F48*'1. Product Setup'!H5+'3. Sales Planning'!L48*'1. Product Setup'!H6+'3. Sales Planning'!R48*'1. Product Setup'!H7+'3. Sales Planning'!X48*'1. Product Setup'!H8</f>
        <v/>
      </c>
      <c r="J47" s="96">
        <f>'3. Sales Planning'!F48*'1. Product Setup'!C5*'1. Product Setup'!G5+'3. Sales Planning'!L48*'1. Product Setup'!C6*'1. Product Setup'!G6+'3. Sales Planning'!R48*'1. Product Setup'!C7*'1. Product Setup'!G7+'3. Sales Planning'!X48*'1. Product Setup'!C8*'1. Product Setup'!G8</f>
        <v/>
      </c>
      <c r="K47" s="96">
        <f>'1. Product Setup'!C21</f>
        <v/>
      </c>
      <c r="L47" s="96">
        <f>I47+J47+K47</f>
        <v/>
      </c>
      <c r="M47" s="97">
        <f>G47-L47</f>
        <v/>
      </c>
      <c r="N47" s="162">
        <f>IF($B47="","",MONTH($B47))</f>
        <v/>
      </c>
      <c r="O47" s="162">
        <f>IF($B47="","",ROUNDUP(MONTH($B47)/3,0))</f>
        <v/>
      </c>
    </row>
    <row r="48" ht="19.5" customHeight="1" s="58">
      <c r="B48" s="83" t="n">
        <v>44</v>
      </c>
      <c r="C48" s="84" t="n">
        <v>45964</v>
      </c>
      <c r="D48" s="85">
        <f>'3. Sales Planning'!F49+'3. Sales Planning'!L49+'3. Sales Planning'!R49+'3. Sales Planning'!X49</f>
        <v/>
      </c>
      <c r="E48" s="96">
        <f>'3. Sales Planning'!F49*'1. Product Setup'!C5+'3. Sales Planning'!L49*'1. Product Setup'!C6+'3. Sales Planning'!R49*'1. Product Setup'!C7+'3. Sales Planning'!X49*'1. Product Setup'!C8</f>
        <v/>
      </c>
      <c r="F48" s="96">
        <f>'3. Sales Planning'!F49*('1. Product Setup'!D5+'1. Product Setup'!E5+'1. Product Setup'!D5*'1. Product Setup'!F5)+'3. Sales Planning'!L49*('1. Product Setup'!D6+'1. Product Setup'!E6+'1. Product Setup'!D6*'1. Product Setup'!F6)+'3. Sales Planning'!R49*('1. Product Setup'!D7+'1. Product Setup'!E7+'1. Product Setup'!D7*'1. Product Setup'!F7)+'3. Sales Planning'!X49*('1. Product Setup'!D8+'1. Product Setup'!E8+'1. Product Setup'!D8*'1. Product Setup'!F8)</f>
        <v/>
      </c>
      <c r="G48" s="97">
        <f>E48-F48</f>
        <v/>
      </c>
      <c r="H48" s="98">
        <f>IF(E48=0,0,G48/E48)</f>
        <v/>
      </c>
      <c r="I48" s="96">
        <f>E48*0.15+'3. Sales Planning'!F49*'1. Product Setup'!H5+'3. Sales Planning'!L49*'1. Product Setup'!H6+'3. Sales Planning'!R49*'1. Product Setup'!H7+'3. Sales Planning'!X49*'1. Product Setup'!H8</f>
        <v/>
      </c>
      <c r="J48" s="96">
        <f>'3. Sales Planning'!F49*'1. Product Setup'!C5*'1. Product Setup'!G5+'3. Sales Planning'!L49*'1. Product Setup'!C6*'1. Product Setup'!G6+'3. Sales Planning'!R49*'1. Product Setup'!C7*'1. Product Setup'!G7+'3. Sales Planning'!X49*'1. Product Setup'!C8*'1. Product Setup'!G8</f>
        <v/>
      </c>
      <c r="K48" s="96">
        <f>'1. Product Setup'!C21</f>
        <v/>
      </c>
      <c r="L48" s="96">
        <f>I48+J48+K48</f>
        <v/>
      </c>
      <c r="M48" s="97">
        <f>G48-L48</f>
        <v/>
      </c>
      <c r="N48" s="162">
        <f>IF($B48="","",MONTH($B48))</f>
        <v/>
      </c>
      <c r="O48" s="162">
        <f>IF($B48="","",ROUNDUP(MONTH($B48)/3,0))</f>
        <v/>
      </c>
    </row>
    <row r="49" ht="19.5" customHeight="1" s="58">
      <c r="B49" s="83" t="n">
        <v>45</v>
      </c>
      <c r="C49" s="84" t="n">
        <v>45971</v>
      </c>
      <c r="D49" s="85">
        <f>'3. Sales Planning'!F50+'3. Sales Planning'!L50+'3. Sales Planning'!R50+'3. Sales Planning'!X50</f>
        <v/>
      </c>
      <c r="E49" s="96">
        <f>'3. Sales Planning'!F50*'1. Product Setup'!C5+'3. Sales Planning'!L50*'1. Product Setup'!C6+'3. Sales Planning'!R50*'1. Product Setup'!C7+'3. Sales Planning'!X50*'1. Product Setup'!C8</f>
        <v/>
      </c>
      <c r="F49" s="96">
        <f>'3. Sales Planning'!F50*('1. Product Setup'!D5+'1. Product Setup'!E5+'1. Product Setup'!D5*'1. Product Setup'!F5)+'3. Sales Planning'!L50*('1. Product Setup'!D6+'1. Product Setup'!E6+'1. Product Setup'!D6*'1. Product Setup'!F6)+'3. Sales Planning'!R50*('1. Product Setup'!D7+'1. Product Setup'!E7+'1. Product Setup'!D7*'1. Product Setup'!F7)+'3. Sales Planning'!X50*('1. Product Setup'!D8+'1. Product Setup'!E8+'1. Product Setup'!D8*'1. Product Setup'!F8)</f>
        <v/>
      </c>
      <c r="G49" s="97">
        <f>E49-F49</f>
        <v/>
      </c>
      <c r="H49" s="98">
        <f>IF(E49=0,0,G49/E49)</f>
        <v/>
      </c>
      <c r="I49" s="96">
        <f>E49*0.15+'3. Sales Planning'!F50*'1. Product Setup'!H5+'3. Sales Planning'!L50*'1. Product Setup'!H6+'3. Sales Planning'!R50*'1. Product Setup'!H7+'3. Sales Planning'!X50*'1. Product Setup'!H8</f>
        <v/>
      </c>
      <c r="J49" s="96">
        <f>'3. Sales Planning'!F50*'1. Product Setup'!C5*'1. Product Setup'!G5+'3. Sales Planning'!L50*'1. Product Setup'!C6*'1. Product Setup'!G6+'3. Sales Planning'!R50*'1. Product Setup'!C7*'1. Product Setup'!G7+'3. Sales Planning'!X50*'1. Product Setup'!C8*'1. Product Setup'!G8</f>
        <v/>
      </c>
      <c r="K49" s="96">
        <f>'1. Product Setup'!C21</f>
        <v/>
      </c>
      <c r="L49" s="96">
        <f>I49+J49+K49</f>
        <v/>
      </c>
      <c r="M49" s="97">
        <f>G49-L49</f>
        <v/>
      </c>
      <c r="N49" s="162">
        <f>IF($B49="","",MONTH($B49))</f>
        <v/>
      </c>
      <c r="O49" s="162">
        <f>IF($B49="","",ROUNDUP(MONTH($B49)/3,0))</f>
        <v/>
      </c>
    </row>
    <row r="50" ht="19.5" customHeight="1" s="58">
      <c r="B50" s="83" t="n">
        <v>46</v>
      </c>
      <c r="C50" s="84" t="n">
        <v>45978</v>
      </c>
      <c r="D50" s="85">
        <f>'3. Sales Planning'!F51+'3. Sales Planning'!L51+'3. Sales Planning'!R51+'3. Sales Planning'!X51</f>
        <v/>
      </c>
      <c r="E50" s="96">
        <f>'3. Sales Planning'!F51*'1. Product Setup'!C5+'3. Sales Planning'!L51*'1. Product Setup'!C6+'3. Sales Planning'!R51*'1. Product Setup'!C7+'3. Sales Planning'!X51*'1. Product Setup'!C8</f>
        <v/>
      </c>
      <c r="F50" s="96">
        <f>'3. Sales Planning'!F51*('1. Product Setup'!D5+'1. Product Setup'!E5+'1. Product Setup'!D5*'1. Product Setup'!F5)+'3. Sales Planning'!L51*('1. Product Setup'!D6+'1. Product Setup'!E6+'1. Product Setup'!D6*'1. Product Setup'!F6)+'3. Sales Planning'!R51*('1. Product Setup'!D7+'1. Product Setup'!E7+'1. Product Setup'!D7*'1. Product Setup'!F7)+'3. Sales Planning'!X51*('1. Product Setup'!D8+'1. Product Setup'!E8+'1. Product Setup'!D8*'1. Product Setup'!F8)</f>
        <v/>
      </c>
      <c r="G50" s="97">
        <f>E50-F50</f>
        <v/>
      </c>
      <c r="H50" s="98">
        <f>IF(E50=0,0,G50/E50)</f>
        <v/>
      </c>
      <c r="I50" s="96">
        <f>E50*0.15+'3. Sales Planning'!F51*'1. Product Setup'!H5+'3. Sales Planning'!L51*'1. Product Setup'!H6+'3. Sales Planning'!R51*'1. Product Setup'!H7+'3. Sales Planning'!X51*'1. Product Setup'!H8</f>
        <v/>
      </c>
      <c r="J50" s="96">
        <f>'3. Sales Planning'!F51*'1. Product Setup'!C5*'1. Product Setup'!G5+'3. Sales Planning'!L51*'1. Product Setup'!C6*'1. Product Setup'!G6+'3. Sales Planning'!R51*'1. Product Setup'!C7*'1. Product Setup'!G7+'3. Sales Planning'!X51*'1. Product Setup'!C8*'1. Product Setup'!G8</f>
        <v/>
      </c>
      <c r="K50" s="96">
        <f>'1. Product Setup'!C21</f>
        <v/>
      </c>
      <c r="L50" s="96">
        <f>I50+J50+K50</f>
        <v/>
      </c>
      <c r="M50" s="97">
        <f>G50-L50</f>
        <v/>
      </c>
      <c r="N50" s="162">
        <f>IF($B50="","",MONTH($B50))</f>
        <v/>
      </c>
      <c r="O50" s="162">
        <f>IF($B50="","",ROUNDUP(MONTH($B50)/3,0))</f>
        <v/>
      </c>
    </row>
    <row r="51" ht="19.5" customHeight="1" s="58">
      <c r="B51" s="83" t="n">
        <v>47</v>
      </c>
      <c r="C51" s="84" t="n">
        <v>45985</v>
      </c>
      <c r="D51" s="85">
        <f>'3. Sales Planning'!F52+'3. Sales Planning'!L52+'3. Sales Planning'!R52+'3. Sales Planning'!X52</f>
        <v/>
      </c>
      <c r="E51" s="96">
        <f>'3. Sales Planning'!F52*'1. Product Setup'!C5+'3. Sales Planning'!L52*'1. Product Setup'!C6+'3. Sales Planning'!R52*'1. Product Setup'!C7+'3. Sales Planning'!X52*'1. Product Setup'!C8</f>
        <v/>
      </c>
      <c r="F51" s="96">
        <f>'3. Sales Planning'!F52*('1. Product Setup'!D5+'1. Product Setup'!E5+'1. Product Setup'!D5*'1. Product Setup'!F5)+'3. Sales Planning'!L52*('1. Product Setup'!D6+'1. Product Setup'!E6+'1. Product Setup'!D6*'1. Product Setup'!F6)+'3. Sales Planning'!R52*('1. Product Setup'!D7+'1. Product Setup'!E7+'1. Product Setup'!D7*'1. Product Setup'!F7)+'3. Sales Planning'!X52*('1. Product Setup'!D8+'1. Product Setup'!E8+'1. Product Setup'!D8*'1. Product Setup'!F8)</f>
        <v/>
      </c>
      <c r="G51" s="97">
        <f>E51-F51</f>
        <v/>
      </c>
      <c r="H51" s="98">
        <f>IF(E51=0,0,G51/E51)</f>
        <v/>
      </c>
      <c r="I51" s="96">
        <f>E51*0.15+'3. Sales Planning'!F52*'1. Product Setup'!H5+'3. Sales Planning'!L52*'1. Product Setup'!H6+'3. Sales Planning'!R52*'1. Product Setup'!H7+'3. Sales Planning'!X52*'1. Product Setup'!H8</f>
        <v/>
      </c>
      <c r="J51" s="96">
        <f>'3. Sales Planning'!F52*'1. Product Setup'!C5*'1. Product Setup'!G5+'3. Sales Planning'!L52*'1. Product Setup'!C6*'1. Product Setup'!G6+'3. Sales Planning'!R52*'1. Product Setup'!C7*'1. Product Setup'!G7+'3. Sales Planning'!X52*'1. Product Setup'!C8*'1. Product Setup'!G8</f>
        <v/>
      </c>
      <c r="K51" s="96">
        <f>'1. Product Setup'!C21</f>
        <v/>
      </c>
      <c r="L51" s="96">
        <f>I51+J51+K51</f>
        <v/>
      </c>
      <c r="M51" s="97">
        <f>G51-L51</f>
        <v/>
      </c>
      <c r="N51" s="162">
        <f>IF($B51="","",MONTH($B51))</f>
        <v/>
      </c>
      <c r="O51" s="162">
        <f>IF($B51="","",ROUNDUP(MONTH($B51)/3,0))</f>
        <v/>
      </c>
    </row>
    <row r="52" ht="19.5" customHeight="1" s="58">
      <c r="B52" s="83" t="n">
        <v>48</v>
      </c>
      <c r="C52" s="84" t="n">
        <v>45992</v>
      </c>
      <c r="D52" s="85">
        <f>'3. Sales Planning'!F53+'3. Sales Planning'!L53+'3. Sales Planning'!R53+'3. Sales Planning'!X53</f>
        <v/>
      </c>
      <c r="E52" s="96">
        <f>'3. Sales Planning'!F53*'1. Product Setup'!C5+'3. Sales Planning'!L53*'1. Product Setup'!C6+'3. Sales Planning'!R53*'1. Product Setup'!C7+'3. Sales Planning'!X53*'1. Product Setup'!C8</f>
        <v/>
      </c>
      <c r="F52" s="96">
        <f>'3. Sales Planning'!F53*('1. Product Setup'!D5+'1. Product Setup'!E5+'1. Product Setup'!D5*'1. Product Setup'!F5)+'3. Sales Planning'!L53*('1. Product Setup'!D6+'1. Product Setup'!E6+'1. Product Setup'!D6*'1. Product Setup'!F6)+'3. Sales Planning'!R53*('1. Product Setup'!D7+'1. Product Setup'!E7+'1. Product Setup'!D7*'1. Product Setup'!F7)+'3. Sales Planning'!X53*('1. Product Setup'!D8+'1. Product Setup'!E8+'1. Product Setup'!D8*'1. Product Setup'!F8)</f>
        <v/>
      </c>
      <c r="G52" s="97">
        <f>E52-F52</f>
        <v/>
      </c>
      <c r="H52" s="98">
        <f>IF(E52=0,0,G52/E52)</f>
        <v/>
      </c>
      <c r="I52" s="96">
        <f>E52*0.15+'3. Sales Planning'!F53*'1. Product Setup'!H5+'3. Sales Planning'!L53*'1. Product Setup'!H6+'3. Sales Planning'!R53*'1. Product Setup'!H7+'3. Sales Planning'!X53*'1. Product Setup'!H8</f>
        <v/>
      </c>
      <c r="J52" s="96">
        <f>'3. Sales Planning'!F53*'1. Product Setup'!C5*'1. Product Setup'!G5+'3. Sales Planning'!L53*'1. Product Setup'!C6*'1. Product Setup'!G6+'3. Sales Planning'!R53*'1. Product Setup'!C7*'1. Product Setup'!G7+'3. Sales Planning'!X53*'1. Product Setup'!C8*'1. Product Setup'!G8</f>
        <v/>
      </c>
      <c r="K52" s="96">
        <f>'1. Product Setup'!C21</f>
        <v/>
      </c>
      <c r="L52" s="96">
        <f>I52+J52+K52</f>
        <v/>
      </c>
      <c r="M52" s="97">
        <f>G52-L52</f>
        <v/>
      </c>
      <c r="N52" s="162">
        <f>IF($B52="","",MONTH($B52))</f>
        <v/>
      </c>
      <c r="O52" s="162">
        <f>IF($B52="","",ROUNDUP(MONTH($B52)/3,0))</f>
        <v/>
      </c>
    </row>
    <row r="53" ht="19.5" customHeight="1" s="58">
      <c r="B53" s="83" t="n">
        <v>49</v>
      </c>
      <c r="C53" s="84" t="n">
        <v>45999</v>
      </c>
      <c r="D53" s="85">
        <f>'3. Sales Planning'!F54+'3. Sales Planning'!L54+'3. Sales Planning'!R54+'3. Sales Planning'!X54</f>
        <v/>
      </c>
      <c r="E53" s="96">
        <f>'3. Sales Planning'!F54*'1. Product Setup'!C5+'3. Sales Planning'!L54*'1. Product Setup'!C6+'3. Sales Planning'!R54*'1. Product Setup'!C7+'3. Sales Planning'!X54*'1. Product Setup'!C8</f>
        <v/>
      </c>
      <c r="F53" s="96">
        <f>'3. Sales Planning'!F54*('1. Product Setup'!D5+'1. Product Setup'!E5+'1. Product Setup'!D5*'1. Product Setup'!F5)+'3. Sales Planning'!L54*('1. Product Setup'!D6+'1. Product Setup'!E6+'1. Product Setup'!D6*'1. Product Setup'!F6)+'3. Sales Planning'!R54*('1. Product Setup'!D7+'1. Product Setup'!E7+'1. Product Setup'!D7*'1. Product Setup'!F7)+'3. Sales Planning'!X54*('1. Product Setup'!D8+'1. Product Setup'!E8+'1. Product Setup'!D8*'1. Product Setup'!F8)</f>
        <v/>
      </c>
      <c r="G53" s="97">
        <f>E53-F53</f>
        <v/>
      </c>
      <c r="H53" s="98">
        <f>IF(E53=0,0,G53/E53)</f>
        <v/>
      </c>
      <c r="I53" s="96">
        <f>E53*0.15+'3. Sales Planning'!F54*'1. Product Setup'!H5+'3. Sales Planning'!L54*'1. Product Setup'!H6+'3. Sales Planning'!R54*'1. Product Setup'!H7+'3. Sales Planning'!X54*'1. Product Setup'!H8</f>
        <v/>
      </c>
      <c r="J53" s="96">
        <f>'3. Sales Planning'!F54*'1. Product Setup'!C5*'1. Product Setup'!G5+'3. Sales Planning'!L54*'1. Product Setup'!C6*'1. Product Setup'!G6+'3. Sales Planning'!R54*'1. Product Setup'!C7*'1. Product Setup'!G7+'3. Sales Planning'!X54*'1. Product Setup'!C8*'1. Product Setup'!G8</f>
        <v/>
      </c>
      <c r="K53" s="96">
        <f>'1. Product Setup'!C21</f>
        <v/>
      </c>
      <c r="L53" s="96">
        <f>I53+J53+K53</f>
        <v/>
      </c>
      <c r="M53" s="97">
        <f>G53-L53</f>
        <v/>
      </c>
      <c r="N53" s="162">
        <f>IF($B53="","",MONTH($B53))</f>
        <v/>
      </c>
      <c r="O53" s="162">
        <f>IF($B53="","",ROUNDUP(MONTH($B53)/3,0))</f>
        <v/>
      </c>
    </row>
    <row r="54" ht="19.5" customHeight="1" s="58">
      <c r="B54" s="83" t="n">
        <v>50</v>
      </c>
      <c r="C54" s="84" t="n">
        <v>46006</v>
      </c>
      <c r="D54" s="85">
        <f>'3. Sales Planning'!F55+'3. Sales Planning'!L55+'3. Sales Planning'!R55+'3. Sales Planning'!X55</f>
        <v/>
      </c>
      <c r="E54" s="96">
        <f>'3. Sales Planning'!F55*'1. Product Setup'!C5+'3. Sales Planning'!L55*'1. Product Setup'!C6+'3. Sales Planning'!R55*'1. Product Setup'!C7+'3. Sales Planning'!X55*'1. Product Setup'!C8</f>
        <v/>
      </c>
      <c r="F54" s="96">
        <f>'3. Sales Planning'!F55*('1. Product Setup'!D5+'1. Product Setup'!E5+'1. Product Setup'!D5*'1. Product Setup'!F5)+'3. Sales Planning'!L55*('1. Product Setup'!D6+'1. Product Setup'!E6+'1. Product Setup'!D6*'1. Product Setup'!F6)+'3. Sales Planning'!R55*('1. Product Setup'!D7+'1. Product Setup'!E7+'1. Product Setup'!D7*'1. Product Setup'!F7)+'3. Sales Planning'!X55*('1. Product Setup'!D8+'1. Product Setup'!E8+'1. Product Setup'!D8*'1. Product Setup'!F8)</f>
        <v/>
      </c>
      <c r="G54" s="97">
        <f>E54-F54</f>
        <v/>
      </c>
      <c r="H54" s="98">
        <f>IF(E54=0,0,G54/E54)</f>
        <v/>
      </c>
      <c r="I54" s="96">
        <f>E54*0.15+'3. Sales Planning'!F55*'1. Product Setup'!H5+'3. Sales Planning'!L55*'1. Product Setup'!H6+'3. Sales Planning'!R55*'1. Product Setup'!H7+'3. Sales Planning'!X55*'1. Product Setup'!H8</f>
        <v/>
      </c>
      <c r="J54" s="96">
        <f>'3. Sales Planning'!F55*'1. Product Setup'!C5*'1. Product Setup'!G5+'3. Sales Planning'!L55*'1. Product Setup'!C6*'1. Product Setup'!G6+'3. Sales Planning'!R55*'1. Product Setup'!C7*'1. Product Setup'!G7+'3. Sales Planning'!X55*'1. Product Setup'!C8*'1. Product Setup'!G8</f>
        <v/>
      </c>
      <c r="K54" s="96">
        <f>'1. Product Setup'!C21</f>
        <v/>
      </c>
      <c r="L54" s="96">
        <f>I54+J54+K54</f>
        <v/>
      </c>
      <c r="M54" s="97">
        <f>G54-L54</f>
        <v/>
      </c>
      <c r="N54" s="162">
        <f>IF($B54="","",MONTH($B54))</f>
        <v/>
      </c>
      <c r="O54" s="162">
        <f>IF($B54="","",ROUNDUP(MONTH($B54)/3,0))</f>
        <v/>
      </c>
    </row>
    <row r="55" ht="19.5" customHeight="1" s="58">
      <c r="B55" s="83" t="n">
        <v>51</v>
      </c>
      <c r="C55" s="84" t="n">
        <v>46013</v>
      </c>
      <c r="D55" s="85">
        <f>'3. Sales Planning'!F56+'3. Sales Planning'!L56+'3. Sales Planning'!R56+'3. Sales Planning'!X56</f>
        <v/>
      </c>
      <c r="E55" s="96">
        <f>'3. Sales Planning'!F56*'1. Product Setup'!C5+'3. Sales Planning'!L56*'1. Product Setup'!C6+'3. Sales Planning'!R56*'1. Product Setup'!C7+'3. Sales Planning'!X56*'1. Product Setup'!C8</f>
        <v/>
      </c>
      <c r="F55" s="96">
        <f>'3. Sales Planning'!F56*('1. Product Setup'!D5+'1. Product Setup'!E5+'1. Product Setup'!D5*'1. Product Setup'!F5)+'3. Sales Planning'!L56*('1. Product Setup'!D6+'1. Product Setup'!E6+'1. Product Setup'!D6*'1. Product Setup'!F6)+'3. Sales Planning'!R56*('1. Product Setup'!D7+'1. Product Setup'!E7+'1. Product Setup'!D7*'1. Product Setup'!F7)+'3. Sales Planning'!X56*('1. Product Setup'!D8+'1. Product Setup'!E8+'1. Product Setup'!D8*'1. Product Setup'!F8)</f>
        <v/>
      </c>
      <c r="G55" s="97">
        <f>E55-F55</f>
        <v/>
      </c>
      <c r="H55" s="98">
        <f>IF(E55=0,0,G55/E55)</f>
        <v/>
      </c>
      <c r="I55" s="96">
        <f>E55*0.15+'3. Sales Planning'!F56*'1. Product Setup'!H5+'3. Sales Planning'!L56*'1. Product Setup'!H6+'3. Sales Planning'!R56*'1. Product Setup'!H7+'3. Sales Planning'!X56*'1. Product Setup'!H8</f>
        <v/>
      </c>
      <c r="J55" s="96">
        <f>'3. Sales Planning'!F56*'1. Product Setup'!C5*'1. Product Setup'!G5+'3. Sales Planning'!L56*'1. Product Setup'!C6*'1. Product Setup'!G6+'3. Sales Planning'!R56*'1. Product Setup'!C7*'1. Product Setup'!G7+'3. Sales Planning'!X56*'1. Product Setup'!C8*'1. Product Setup'!G8</f>
        <v/>
      </c>
      <c r="K55" s="96">
        <f>'1. Product Setup'!C21</f>
        <v/>
      </c>
      <c r="L55" s="96">
        <f>I55+J55+K55</f>
        <v/>
      </c>
      <c r="M55" s="97">
        <f>G55-L55</f>
        <v/>
      </c>
      <c r="N55" s="162">
        <f>IF($B55="","",MONTH($B55))</f>
        <v/>
      </c>
      <c r="O55" s="162">
        <f>IF($B55="","",ROUNDUP(MONTH($B55)/3,0))</f>
        <v/>
      </c>
    </row>
    <row r="56" ht="19.5" customHeight="1" s="58">
      <c r="B56" s="83" t="n">
        <v>52</v>
      </c>
      <c r="C56" s="84" t="n">
        <v>46020</v>
      </c>
      <c r="D56" s="85">
        <f>'3. Sales Planning'!F57+'3. Sales Planning'!L57+'3. Sales Planning'!R57+'3. Sales Planning'!X57</f>
        <v/>
      </c>
      <c r="E56" s="96">
        <f>'3. Sales Planning'!F57*'1. Product Setup'!C5+'3. Sales Planning'!L57*'1. Product Setup'!C6+'3. Sales Planning'!R57*'1. Product Setup'!C7+'3. Sales Planning'!X57*'1. Product Setup'!C8</f>
        <v/>
      </c>
      <c r="F56" s="96">
        <f>'3. Sales Planning'!F57*('1. Product Setup'!D5+'1. Product Setup'!E5+'1. Product Setup'!D5*'1. Product Setup'!F5)+'3. Sales Planning'!L57*('1. Product Setup'!D6+'1. Product Setup'!E6+'1. Product Setup'!D6*'1. Product Setup'!F6)+'3. Sales Planning'!R57*('1. Product Setup'!D7+'1. Product Setup'!E7+'1. Product Setup'!D7*'1. Product Setup'!F7)+'3. Sales Planning'!X57*('1. Product Setup'!D8+'1. Product Setup'!E8+'1. Product Setup'!D8*'1. Product Setup'!F8)</f>
        <v/>
      </c>
      <c r="G56" s="97">
        <f>E56-F56</f>
        <v/>
      </c>
      <c r="H56" s="98">
        <f>IF(E56=0,0,G56/E56)</f>
        <v/>
      </c>
      <c r="I56" s="96">
        <f>E56*0.15+'3. Sales Planning'!F57*'1. Product Setup'!H5+'3. Sales Planning'!L57*'1. Product Setup'!H6+'3. Sales Planning'!R57*'1. Product Setup'!H7+'3. Sales Planning'!X57*'1. Product Setup'!H8</f>
        <v/>
      </c>
      <c r="J56" s="96">
        <f>'3. Sales Planning'!F57*'1. Product Setup'!C5*'1. Product Setup'!G5+'3. Sales Planning'!L57*'1. Product Setup'!C6*'1. Product Setup'!G6+'3. Sales Planning'!R57*'1. Product Setup'!C7*'1. Product Setup'!G7+'3. Sales Planning'!X57*'1. Product Setup'!C8*'1. Product Setup'!G8</f>
        <v/>
      </c>
      <c r="K56" s="96">
        <f>'1. Product Setup'!C21</f>
        <v/>
      </c>
      <c r="L56" s="96">
        <f>I56+J56+K56</f>
        <v/>
      </c>
      <c r="M56" s="97">
        <f>G56-L56</f>
        <v/>
      </c>
      <c r="N56" s="162">
        <f>IF($B56="","",MONTH($B56))</f>
        <v/>
      </c>
      <c r="O56" s="162">
        <f>IF($B56="","",ROUNDUP(MONTH($B56)/3,0))</f>
        <v/>
      </c>
    </row>
    <row r="57" ht="19.5" customHeight="1" s="58">
      <c r="B57" s="102" t="inlineStr">
        <is>
          <t>TOTALS</t>
        </is>
      </c>
      <c r="C57" s="102" t="n"/>
      <c r="D57" s="102">
        <f>SUM(D5:D56)</f>
        <v/>
      </c>
      <c r="E57" s="102">
        <f>SUM(E5:E56)</f>
        <v/>
      </c>
      <c r="F57" s="102">
        <f>SUM(F5:F56)</f>
        <v/>
      </c>
      <c r="G57" s="102">
        <f>SUM(G5:G56)</f>
        <v/>
      </c>
      <c r="H57" s="102" t="n"/>
      <c r="I57" s="102">
        <f>SUM(I5:I56)</f>
        <v/>
      </c>
      <c r="J57" s="102">
        <f>SUM(J5:J56)</f>
        <v/>
      </c>
      <c r="K57" s="103">
        <f>SUM(K5:K56)</f>
        <v/>
      </c>
      <c r="L57" s="102">
        <f>SUM(L5:L56)</f>
        <v/>
      </c>
      <c r="M57" s="102">
        <f>SUM(M5:M56)</f>
        <v/>
      </c>
    </row>
    <row r="58" ht="15" customHeight="1" s="58">
      <c r="P58" s="165" t="inlineStr">
        <is>
          <t>Monthly P&amp;L Summary</t>
        </is>
      </c>
      <c r="Q58" s="164" t="n"/>
      <c r="R58" s="164" t="n"/>
      <c r="S58" s="164" t="n"/>
      <c r="T58" s="164" t="n"/>
      <c r="U58" s="164" t="n"/>
      <c r="V58" s="164" t="n"/>
      <c r="W58" s="164" t="n"/>
      <c r="X58" s="164" t="n"/>
    </row>
    <row r="59" ht="15" customHeight="1" s="58">
      <c r="P59" s="154" t="inlineStr">
        <is>
          <t>Period</t>
        </is>
      </c>
      <c r="Q59" s="154" t="inlineStr">
        <is>
          <t>Revenue</t>
        </is>
      </c>
      <c r="R59" s="154" t="inlineStr">
        <is>
          <t>COGS</t>
        </is>
      </c>
      <c r="S59" s="154" t="inlineStr">
        <is>
          <t>Gross Profit</t>
        </is>
      </c>
      <c r="T59" s="154" t="inlineStr">
        <is>
          <t>Amazon Fees</t>
        </is>
      </c>
      <c r="U59" s="154" t="inlineStr">
        <is>
          <t>PPC</t>
        </is>
      </c>
      <c r="V59" s="154" t="inlineStr">
        <is>
          <t>Fixed Costs</t>
        </is>
      </c>
      <c r="W59" s="154" t="inlineStr">
        <is>
          <t>Total OpEx</t>
        </is>
      </c>
      <c r="X59" s="154" t="inlineStr">
        <is>
          <t>Net Profit</t>
        </is>
      </c>
    </row>
    <row r="60" ht="15" customHeight="1" s="58">
      <c r="P60" s="150" t="inlineStr">
        <is>
          <t>Jan</t>
        </is>
      </c>
      <c r="Q60" s="155">
        <f>SUMIFS($E$5:$E$56,$N$5:$N$56,1)</f>
        <v/>
      </c>
      <c r="R60" s="155">
        <f>SUMIFS($F$5:$F$56,$N$5:$N$56,1)</f>
        <v/>
      </c>
      <c r="S60" s="155">
        <f>SUMIFS($G$5:$G$56,$N$5:$N$56,1)</f>
        <v/>
      </c>
      <c r="T60" s="155">
        <f>SUMIFS($I$5:$I$56,$N$5:$N$56,1)</f>
        <v/>
      </c>
      <c r="U60" s="155">
        <f>SUMIFS($J$5:$J$56,$N$5:$N$56,1)</f>
        <v/>
      </c>
      <c r="V60" s="155">
        <f>SUMIFS($K$5:$K$56,$N$5:$N$56,1)</f>
        <v/>
      </c>
      <c r="W60" s="155">
        <f>SUMIFS($L$5:$L$56,$N$5:$N$56,1)</f>
        <v/>
      </c>
      <c r="X60" s="155">
        <f>SUMIFS($M$5:$M$56,$N$5:$N$56,1)</f>
        <v/>
      </c>
      <c r="Y60" s="163">
        <f>T60-X60</f>
        <v/>
      </c>
    </row>
    <row r="61">
      <c r="P61" s="150" t="inlineStr">
        <is>
          <t>Feb</t>
        </is>
      </c>
      <c r="Q61" s="155">
        <f>SUMIFS($E$5:$E$56,$N$5:$N$56,2)</f>
        <v/>
      </c>
      <c r="R61" s="155">
        <f>SUMIFS($F$5:$F$56,$N$5:$N$56,2)</f>
        <v/>
      </c>
      <c r="S61" s="155">
        <f>SUMIFS($G$5:$G$56,$N$5:$N$56,2)</f>
        <v/>
      </c>
      <c r="T61" s="155">
        <f>SUMIFS($I$5:$I$56,$N$5:$N$56,2)</f>
        <v/>
      </c>
      <c r="U61" s="155">
        <f>SUMIFS($J$5:$J$56,$N$5:$N$56,2)</f>
        <v/>
      </c>
      <c r="V61" s="155">
        <f>SUMIFS($K$5:$K$56,$N$5:$N$56,2)</f>
        <v/>
      </c>
      <c r="W61" s="155">
        <f>SUMIFS($L$5:$L$56,$N$5:$N$56,2)</f>
        <v/>
      </c>
      <c r="X61" s="155">
        <f>SUMIFS($M$5:$M$56,$N$5:$N$56,2)</f>
        <v/>
      </c>
      <c r="Y61" s="163">
        <f>T61-X61</f>
        <v/>
      </c>
    </row>
    <row r="62">
      <c r="P62" s="150" t="inlineStr">
        <is>
          <t>Mar</t>
        </is>
      </c>
      <c r="Q62" s="155">
        <f>SUMIFS($E$5:$E$56,$N$5:$N$56,3)</f>
        <v/>
      </c>
      <c r="R62" s="155">
        <f>SUMIFS($F$5:$F$56,$N$5:$N$56,3)</f>
        <v/>
      </c>
      <c r="S62" s="155">
        <f>SUMIFS($G$5:$G$56,$N$5:$N$56,3)</f>
        <v/>
      </c>
      <c r="T62" s="155">
        <f>SUMIFS($I$5:$I$56,$N$5:$N$56,3)</f>
        <v/>
      </c>
      <c r="U62" s="155">
        <f>SUMIFS($J$5:$J$56,$N$5:$N$56,3)</f>
        <v/>
      </c>
      <c r="V62" s="155">
        <f>SUMIFS($K$5:$K$56,$N$5:$N$56,3)</f>
        <v/>
      </c>
      <c r="W62" s="155">
        <f>SUMIFS($L$5:$L$56,$N$5:$N$56,3)</f>
        <v/>
      </c>
      <c r="X62" s="155">
        <f>SUMIFS($M$5:$M$56,$N$5:$N$56,3)</f>
        <v/>
      </c>
      <c r="Y62" s="163">
        <f>T62-X62</f>
        <v/>
      </c>
    </row>
    <row r="63">
      <c r="P63" s="150" t="inlineStr">
        <is>
          <t>Apr</t>
        </is>
      </c>
      <c r="Q63" s="155">
        <f>SUMIFS($E$5:$E$56,$N$5:$N$56,4)</f>
        <v/>
      </c>
      <c r="R63" s="155">
        <f>SUMIFS($F$5:$F$56,$N$5:$N$56,4)</f>
        <v/>
      </c>
      <c r="S63" s="155">
        <f>SUMIFS($G$5:$G$56,$N$5:$N$56,4)</f>
        <v/>
      </c>
      <c r="T63" s="155">
        <f>SUMIFS($I$5:$I$56,$N$5:$N$56,4)</f>
        <v/>
      </c>
      <c r="U63" s="155">
        <f>SUMIFS($J$5:$J$56,$N$5:$N$56,4)</f>
        <v/>
      </c>
      <c r="V63" s="155">
        <f>SUMIFS($K$5:$K$56,$N$5:$N$56,4)</f>
        <v/>
      </c>
      <c r="W63" s="155">
        <f>SUMIFS($L$5:$L$56,$N$5:$N$56,4)</f>
        <v/>
      </c>
      <c r="X63" s="155">
        <f>SUMIFS($M$5:$M$56,$N$5:$N$56,4)</f>
        <v/>
      </c>
      <c r="Y63" s="163">
        <f>T63-X63</f>
        <v/>
      </c>
    </row>
    <row r="64">
      <c r="P64" s="150" t="inlineStr">
        <is>
          <t>May</t>
        </is>
      </c>
      <c r="Q64" s="155">
        <f>SUMIFS($E$5:$E$56,$N$5:$N$56,5)</f>
        <v/>
      </c>
      <c r="R64" s="155">
        <f>SUMIFS($F$5:$F$56,$N$5:$N$56,5)</f>
        <v/>
      </c>
      <c r="S64" s="155">
        <f>SUMIFS($G$5:$G$56,$N$5:$N$56,5)</f>
        <v/>
      </c>
      <c r="T64" s="155">
        <f>SUMIFS($I$5:$I$56,$N$5:$N$56,5)</f>
        <v/>
      </c>
      <c r="U64" s="155">
        <f>SUMIFS($J$5:$J$56,$N$5:$N$56,5)</f>
        <v/>
      </c>
      <c r="V64" s="155">
        <f>SUMIFS($K$5:$K$56,$N$5:$N$56,5)</f>
        <v/>
      </c>
      <c r="W64" s="155">
        <f>SUMIFS($L$5:$L$56,$N$5:$N$56,5)</f>
        <v/>
      </c>
      <c r="X64" s="155">
        <f>SUMIFS($M$5:$M$56,$N$5:$N$56,5)</f>
        <v/>
      </c>
      <c r="Y64" s="163">
        <f>T64-X64</f>
        <v/>
      </c>
    </row>
    <row r="65">
      <c r="P65" s="150" t="inlineStr">
        <is>
          <t>Jun</t>
        </is>
      </c>
      <c r="Q65" s="155">
        <f>SUMIFS($E$5:$E$56,$N$5:$N$56,6)</f>
        <v/>
      </c>
      <c r="R65" s="155">
        <f>SUMIFS($F$5:$F$56,$N$5:$N$56,6)</f>
        <v/>
      </c>
      <c r="S65" s="155">
        <f>SUMIFS($G$5:$G$56,$N$5:$N$56,6)</f>
        <v/>
      </c>
      <c r="T65" s="155">
        <f>SUMIFS($I$5:$I$56,$N$5:$N$56,6)</f>
        <v/>
      </c>
      <c r="U65" s="155">
        <f>SUMIFS($J$5:$J$56,$N$5:$N$56,6)</f>
        <v/>
      </c>
      <c r="V65" s="155">
        <f>SUMIFS($K$5:$K$56,$N$5:$N$56,6)</f>
        <v/>
      </c>
      <c r="W65" s="155">
        <f>SUMIFS($L$5:$L$56,$N$5:$N$56,6)</f>
        <v/>
      </c>
      <c r="X65" s="155">
        <f>SUMIFS($M$5:$M$56,$N$5:$N$56,6)</f>
        <v/>
      </c>
      <c r="Y65" s="163">
        <f>T65-X65</f>
        <v/>
      </c>
    </row>
    <row r="66">
      <c r="P66" s="150" t="inlineStr">
        <is>
          <t>Jul</t>
        </is>
      </c>
      <c r="Q66" s="155">
        <f>SUMIFS($E$5:$E$56,$N$5:$N$56,7)</f>
        <v/>
      </c>
      <c r="R66" s="155">
        <f>SUMIFS($F$5:$F$56,$N$5:$N$56,7)</f>
        <v/>
      </c>
      <c r="S66" s="155">
        <f>SUMIFS($G$5:$G$56,$N$5:$N$56,7)</f>
        <v/>
      </c>
      <c r="T66" s="155">
        <f>SUMIFS($I$5:$I$56,$N$5:$N$56,7)</f>
        <v/>
      </c>
      <c r="U66" s="155">
        <f>SUMIFS($J$5:$J$56,$N$5:$N$56,7)</f>
        <v/>
      </c>
      <c r="V66" s="155">
        <f>SUMIFS($K$5:$K$56,$N$5:$N$56,7)</f>
        <v/>
      </c>
      <c r="W66" s="155">
        <f>SUMIFS($L$5:$L$56,$N$5:$N$56,7)</f>
        <v/>
      </c>
      <c r="X66" s="155">
        <f>SUMIFS($M$5:$M$56,$N$5:$N$56,7)</f>
        <v/>
      </c>
      <c r="Y66" s="163">
        <f>T66-X66</f>
        <v/>
      </c>
    </row>
    <row r="67">
      <c r="P67" s="150" t="inlineStr">
        <is>
          <t>Aug</t>
        </is>
      </c>
      <c r="Q67" s="155">
        <f>SUMIFS($E$5:$E$56,$N$5:$N$56,8)</f>
        <v/>
      </c>
      <c r="R67" s="155">
        <f>SUMIFS($F$5:$F$56,$N$5:$N$56,8)</f>
        <v/>
      </c>
      <c r="S67" s="155">
        <f>SUMIFS($G$5:$G$56,$N$5:$N$56,8)</f>
        <v/>
      </c>
      <c r="T67" s="155">
        <f>SUMIFS($I$5:$I$56,$N$5:$N$56,8)</f>
        <v/>
      </c>
      <c r="U67" s="155">
        <f>SUMIFS($J$5:$J$56,$N$5:$N$56,8)</f>
        <v/>
      </c>
      <c r="V67" s="155">
        <f>SUMIFS($K$5:$K$56,$N$5:$N$56,8)</f>
        <v/>
      </c>
      <c r="W67" s="155">
        <f>SUMIFS($L$5:$L$56,$N$5:$N$56,8)</f>
        <v/>
      </c>
      <c r="X67" s="155">
        <f>SUMIFS($M$5:$M$56,$N$5:$N$56,8)</f>
        <v/>
      </c>
      <c r="Y67" s="163">
        <f>T67-X67</f>
        <v/>
      </c>
    </row>
    <row r="68">
      <c r="P68" s="150" t="inlineStr">
        <is>
          <t>Sep</t>
        </is>
      </c>
      <c r="Q68" s="155">
        <f>SUMIFS($E$5:$E$56,$N$5:$N$56,9)</f>
        <v/>
      </c>
      <c r="R68" s="155">
        <f>SUMIFS($F$5:$F$56,$N$5:$N$56,9)</f>
        <v/>
      </c>
      <c r="S68" s="155">
        <f>SUMIFS($G$5:$G$56,$N$5:$N$56,9)</f>
        <v/>
      </c>
      <c r="T68" s="155">
        <f>SUMIFS($I$5:$I$56,$N$5:$N$56,9)</f>
        <v/>
      </c>
      <c r="U68" s="155">
        <f>SUMIFS($J$5:$J$56,$N$5:$N$56,9)</f>
        <v/>
      </c>
      <c r="V68" s="155">
        <f>SUMIFS($K$5:$K$56,$N$5:$N$56,9)</f>
        <v/>
      </c>
      <c r="W68" s="155">
        <f>SUMIFS($L$5:$L$56,$N$5:$N$56,9)</f>
        <v/>
      </c>
      <c r="X68" s="155">
        <f>SUMIFS($M$5:$M$56,$N$5:$N$56,9)</f>
        <v/>
      </c>
      <c r="Y68" s="163">
        <f>T68-X68</f>
        <v/>
      </c>
    </row>
    <row r="69">
      <c r="P69" s="150" t="inlineStr">
        <is>
          <t>Oct</t>
        </is>
      </c>
      <c r="Q69" s="155">
        <f>SUMIFS($E$5:$E$56,$N$5:$N$56,10)</f>
        <v/>
      </c>
      <c r="R69" s="155">
        <f>SUMIFS($F$5:$F$56,$N$5:$N$56,10)</f>
        <v/>
      </c>
      <c r="S69" s="155">
        <f>SUMIFS($G$5:$G$56,$N$5:$N$56,10)</f>
        <v/>
      </c>
      <c r="T69" s="155">
        <f>SUMIFS($I$5:$I$56,$N$5:$N$56,10)</f>
        <v/>
      </c>
      <c r="U69" s="155">
        <f>SUMIFS($J$5:$J$56,$N$5:$N$56,10)</f>
        <v/>
      </c>
      <c r="V69" s="155">
        <f>SUMIFS($K$5:$K$56,$N$5:$N$56,10)</f>
        <v/>
      </c>
      <c r="W69" s="155">
        <f>SUMIFS($L$5:$L$56,$N$5:$N$56,10)</f>
        <v/>
      </c>
      <c r="X69" s="155">
        <f>SUMIFS($M$5:$M$56,$N$5:$N$56,10)</f>
        <v/>
      </c>
      <c r="Y69" s="163">
        <f>T69-X69</f>
        <v/>
      </c>
    </row>
    <row r="70">
      <c r="P70" s="150" t="inlineStr">
        <is>
          <t>Nov</t>
        </is>
      </c>
      <c r="Q70" s="155">
        <f>SUMIFS($E$5:$E$56,$N$5:$N$56,11)</f>
        <v/>
      </c>
      <c r="R70" s="155">
        <f>SUMIFS($F$5:$F$56,$N$5:$N$56,11)</f>
        <v/>
      </c>
      <c r="S70" s="155">
        <f>SUMIFS($G$5:$G$56,$N$5:$N$56,11)</f>
        <v/>
      </c>
      <c r="T70" s="155">
        <f>SUMIFS($I$5:$I$56,$N$5:$N$56,11)</f>
        <v/>
      </c>
      <c r="U70" s="155">
        <f>SUMIFS($J$5:$J$56,$N$5:$N$56,11)</f>
        <v/>
      </c>
      <c r="V70" s="155">
        <f>SUMIFS($K$5:$K$56,$N$5:$N$56,11)</f>
        <v/>
      </c>
      <c r="W70" s="155">
        <f>SUMIFS($L$5:$L$56,$N$5:$N$56,11)</f>
        <v/>
      </c>
      <c r="X70" s="155">
        <f>SUMIFS($M$5:$M$56,$N$5:$N$56,11)</f>
        <v/>
      </c>
      <c r="Y70" s="163">
        <f>T70-X70</f>
        <v/>
      </c>
    </row>
    <row r="71">
      <c r="P71" s="150" t="inlineStr">
        <is>
          <t>Dec</t>
        </is>
      </c>
      <c r="Q71" s="155">
        <f>SUMIFS($E$5:$E$56,$N$5:$N$56,12)</f>
        <v/>
      </c>
      <c r="R71" s="155">
        <f>SUMIFS($F$5:$F$56,$N$5:$N$56,12)</f>
        <v/>
      </c>
      <c r="S71" s="155">
        <f>SUMIFS($G$5:$G$56,$N$5:$N$56,12)</f>
        <v/>
      </c>
      <c r="T71" s="155">
        <f>SUMIFS($I$5:$I$56,$N$5:$N$56,12)</f>
        <v/>
      </c>
      <c r="U71" s="155">
        <f>SUMIFS($J$5:$J$56,$N$5:$N$56,12)</f>
        <v/>
      </c>
      <c r="V71" s="155">
        <f>SUMIFS($K$5:$K$56,$N$5:$N$56,12)</f>
        <v/>
      </c>
      <c r="W71" s="155">
        <f>SUMIFS($L$5:$L$56,$N$5:$N$56,12)</f>
        <v/>
      </c>
      <c r="X71" s="155">
        <f>SUMIFS($M$5:$M$56,$N$5:$N$56,12)</f>
        <v/>
      </c>
      <c r="Y71" s="163">
        <f>T71-X71</f>
        <v/>
      </c>
    </row>
    <row r="72">
      <c r="P72" s="164" t="n"/>
      <c r="Q72" s="164" t="n"/>
      <c r="R72" s="164" t="n"/>
      <c r="S72" s="164" t="n"/>
      <c r="T72" s="164" t="n"/>
      <c r="U72" s="164" t="n"/>
      <c r="V72" s="164" t="n"/>
      <c r="W72" s="164" t="n"/>
      <c r="X72" s="164" t="n"/>
    </row>
    <row r="73">
      <c r="P73" s="165" t="inlineStr">
        <is>
          <t>Quarterly P&amp;L Summary</t>
        </is>
      </c>
      <c r="Q73" s="164" t="n"/>
      <c r="R73" s="164" t="n"/>
      <c r="S73" s="164" t="n"/>
      <c r="T73" s="164" t="n"/>
      <c r="U73" s="164" t="n"/>
      <c r="V73" s="164" t="n"/>
      <c r="W73" s="164" t="n"/>
      <c r="X73" s="164" t="n"/>
    </row>
    <row r="74">
      <c r="P74" s="154" t="inlineStr">
        <is>
          <t>Period</t>
        </is>
      </c>
      <c r="Q74" s="154" t="inlineStr">
        <is>
          <t>Revenue</t>
        </is>
      </c>
      <c r="R74" s="154" t="inlineStr">
        <is>
          <t>COGS</t>
        </is>
      </c>
      <c r="S74" s="154" t="inlineStr">
        <is>
          <t>Gross Profit</t>
        </is>
      </c>
      <c r="T74" s="154" t="inlineStr">
        <is>
          <t>Amazon Fees</t>
        </is>
      </c>
      <c r="U74" s="154" t="inlineStr">
        <is>
          <t>PPC</t>
        </is>
      </c>
      <c r="V74" s="154" t="inlineStr">
        <is>
          <t>Fixed Costs</t>
        </is>
      </c>
      <c r="W74" s="154" t="inlineStr">
        <is>
          <t>Total OpEx</t>
        </is>
      </c>
      <c r="X74" s="154" t="inlineStr">
        <is>
          <t>Net Profit</t>
        </is>
      </c>
    </row>
    <row r="75">
      <c r="P75" s="150" t="inlineStr">
        <is>
          <t>Q1</t>
        </is>
      </c>
      <c r="Q75" s="155">
        <f>SUMIFS($E$5:$E$56,$O$5:$O$56,1)</f>
        <v/>
      </c>
      <c r="R75" s="155">
        <f>SUMIFS($F$5:$F$56,$O$5:$O$56,1)</f>
        <v/>
      </c>
      <c r="S75" s="155">
        <f>SUMIFS($G$5:$G$56,$O$5:$O$56,1)</f>
        <v/>
      </c>
      <c r="T75" s="155">
        <f>SUMIFS($I$5:$I$56,$O$5:$O$56,1)</f>
        <v/>
      </c>
      <c r="U75" s="155">
        <f>SUMIFS($J$5:$J$56,$O$5:$O$56,1)</f>
        <v/>
      </c>
      <c r="V75" s="155">
        <f>SUMIFS($K$5:$K$56,$O$5:$O$56,1)</f>
        <v/>
      </c>
      <c r="W75" s="155">
        <f>SUMIFS($L$5:$L$56,$O$5:$O$56,1)</f>
        <v/>
      </c>
      <c r="X75" s="155">
        <f>SUMIFS($M$5:$M$56,$O$5:$O$56,1)</f>
        <v/>
      </c>
      <c r="Y75" s="163">
        <f>T75-X75</f>
        <v/>
      </c>
    </row>
    <row r="76">
      <c r="P76" s="150" t="inlineStr">
        <is>
          <t>Q2</t>
        </is>
      </c>
      <c r="Q76" s="155">
        <f>SUMIFS($E$5:$E$56,$O$5:$O$56,2)</f>
        <v/>
      </c>
      <c r="R76" s="155">
        <f>SUMIFS($F$5:$F$56,$O$5:$O$56,2)</f>
        <v/>
      </c>
      <c r="S76" s="155">
        <f>SUMIFS($G$5:$G$56,$O$5:$O$56,2)</f>
        <v/>
      </c>
      <c r="T76" s="155">
        <f>SUMIFS($I$5:$I$56,$O$5:$O$56,2)</f>
        <v/>
      </c>
      <c r="U76" s="155">
        <f>SUMIFS($J$5:$J$56,$O$5:$O$56,2)</f>
        <v/>
      </c>
      <c r="V76" s="155">
        <f>SUMIFS($K$5:$K$56,$O$5:$O$56,2)</f>
        <v/>
      </c>
      <c r="W76" s="155">
        <f>SUMIFS($L$5:$L$56,$O$5:$O$56,2)</f>
        <v/>
      </c>
      <c r="X76" s="155">
        <f>SUMIFS($M$5:$M$56,$O$5:$O$56,2)</f>
        <v/>
      </c>
      <c r="Y76" s="163">
        <f>T76-X76</f>
        <v/>
      </c>
    </row>
    <row r="77">
      <c r="P77" s="150" t="inlineStr">
        <is>
          <t>Q3</t>
        </is>
      </c>
      <c r="Q77" s="155">
        <f>SUMIFS($E$5:$E$56,$O$5:$O$56,3)</f>
        <v/>
      </c>
      <c r="R77" s="155">
        <f>SUMIFS($F$5:$F$56,$O$5:$O$56,3)</f>
        <v/>
      </c>
      <c r="S77" s="155">
        <f>SUMIFS($G$5:$G$56,$O$5:$O$56,3)</f>
        <v/>
      </c>
      <c r="T77" s="155">
        <f>SUMIFS($I$5:$I$56,$O$5:$O$56,3)</f>
        <v/>
      </c>
      <c r="U77" s="155">
        <f>SUMIFS($J$5:$J$56,$O$5:$O$56,3)</f>
        <v/>
      </c>
      <c r="V77" s="155">
        <f>SUMIFS($K$5:$K$56,$O$5:$O$56,3)</f>
        <v/>
      </c>
      <c r="W77" s="155">
        <f>SUMIFS($L$5:$L$56,$O$5:$O$56,3)</f>
        <v/>
      </c>
      <c r="X77" s="155">
        <f>SUMIFS($M$5:$M$56,$O$5:$O$56,3)</f>
        <v/>
      </c>
      <c r="Y77" s="163">
        <f>T77-X77</f>
        <v/>
      </c>
    </row>
    <row r="78">
      <c r="P78" s="150" t="inlineStr">
        <is>
          <t>Q4</t>
        </is>
      </c>
      <c r="Q78" s="155">
        <f>SUMIFS($E$5:$E$56,$O$5:$O$56,4)</f>
        <v/>
      </c>
      <c r="R78" s="155">
        <f>SUMIFS($F$5:$F$56,$O$5:$O$56,4)</f>
        <v/>
      </c>
      <c r="S78" s="155">
        <f>SUMIFS($G$5:$G$56,$O$5:$O$56,4)</f>
        <v/>
      </c>
      <c r="T78" s="155">
        <f>SUMIFS($I$5:$I$56,$O$5:$O$56,4)</f>
        <v/>
      </c>
      <c r="U78" s="155">
        <f>SUMIFS($J$5:$J$56,$O$5:$O$56,4)</f>
        <v/>
      </c>
      <c r="V78" s="155">
        <f>SUMIFS($K$5:$K$56,$O$5:$O$56,4)</f>
        <v/>
      </c>
      <c r="W78" s="155">
        <f>SUMIFS($L$5:$L$56,$O$5:$O$56,4)</f>
        <v/>
      </c>
      <c r="X78" s="155">
        <f>SUMIFS($M$5:$M$56,$O$5:$O$56,4)</f>
        <v/>
      </c>
      <c r="Y78" s="163">
        <f>T78-X78</f>
        <v/>
      </c>
    </row>
    <row r="79"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</row>
    <row r="80">
      <c r="P80" s="164" t="n"/>
      <c r="Q80" s="164" t="n"/>
      <c r="R80" s="164" t="n"/>
      <c r="S80" s="164" t="n"/>
      <c r="T80" s="164" t="n"/>
      <c r="U80" s="164" t="n"/>
      <c r="V80" s="164" t="n"/>
      <c r="W80" s="164" t="n"/>
      <c r="X80" s="164" t="n"/>
    </row>
    <row r="81">
      <c r="P81" s="164" t="n"/>
      <c r="Q81" s="164" t="n"/>
      <c r="R81" s="164" t="n"/>
      <c r="S81" s="164" t="n"/>
      <c r="T81" s="164" t="n"/>
      <c r="U81" s="164" t="n"/>
      <c r="V81" s="164" t="n"/>
      <c r="W81" s="164" t="n"/>
      <c r="X81" s="164" t="n"/>
    </row>
    <row r="82">
      <c r="P82" s="164" t="n"/>
      <c r="Q82" s="164" t="n"/>
      <c r="R82" s="164" t="n"/>
      <c r="S82" s="164" t="n"/>
      <c r="T82" s="164" t="n"/>
      <c r="U82" s="164" t="n"/>
      <c r="V82" s="164" t="n"/>
      <c r="W82" s="164" t="n"/>
      <c r="X82" s="164" t="n"/>
    </row>
    <row r="83">
      <c r="P83" s="164" t="n"/>
      <c r="Q83" s="164" t="n"/>
      <c r="R83" s="164" t="n"/>
      <c r="S83" s="164" t="n"/>
      <c r="T83" s="164" t="n"/>
      <c r="U83" s="164" t="n"/>
      <c r="V83" s="164" t="n"/>
      <c r="W83" s="164" t="n"/>
      <c r="X83" s="164" t="n"/>
    </row>
    <row r="84">
      <c r="P84" s="164" t="n"/>
      <c r="Q84" s="164" t="n"/>
      <c r="R84" s="164" t="n"/>
      <c r="S84" s="164" t="n"/>
      <c r="T84" s="164" t="n"/>
      <c r="U84" s="164" t="n"/>
      <c r="V84" s="164" t="n"/>
      <c r="W84" s="164" t="n"/>
      <c r="X84" s="164" t="n"/>
    </row>
    <row r="85">
      <c r="P85" s="164" t="n"/>
      <c r="Q85" s="164" t="n"/>
      <c r="R85" s="164" t="n"/>
      <c r="S85" s="164" t="n"/>
      <c r="T85" s="164" t="n"/>
      <c r="U85" s="164" t="n"/>
      <c r="V85" s="164" t="n"/>
      <c r="W85" s="164" t="n"/>
      <c r="X85" s="164" t="n"/>
    </row>
    <row r="86">
      <c r="P86" s="164" t="n"/>
      <c r="Q86" s="164" t="n"/>
      <c r="R86" s="164" t="n"/>
      <c r="S86" s="164" t="n"/>
      <c r="T86" s="164" t="n"/>
      <c r="U86" s="164" t="n"/>
      <c r="V86" s="164" t="n"/>
      <c r="W86" s="164" t="n"/>
      <c r="X86" s="164" t="n"/>
    </row>
    <row r="87">
      <c r="P87" s="164" t="n"/>
      <c r="Q87" s="164" t="n"/>
      <c r="R87" s="164" t="n"/>
      <c r="S87" s="164" t="n"/>
      <c r="T87" s="164" t="n"/>
      <c r="U87" s="164" t="n"/>
      <c r="V87" s="164" t="n"/>
      <c r="W87" s="164" t="n"/>
      <c r="X87" s="164" t="n"/>
    </row>
    <row r="88">
      <c r="P88" s="164" t="n"/>
      <c r="Q88" s="164" t="n"/>
      <c r="R88" s="164" t="n"/>
      <c r="S88" s="164" t="n"/>
      <c r="T88" s="164" t="n"/>
      <c r="U88" s="164" t="n"/>
      <c r="V88" s="164" t="n"/>
      <c r="W88" s="164" t="n"/>
      <c r="X88" s="164" t="n"/>
    </row>
    <row r="89">
      <c r="P89" s="164" t="n"/>
      <c r="Q89" s="164" t="n"/>
      <c r="R89" s="164" t="n"/>
      <c r="S89" s="164" t="n"/>
      <c r="T89" s="164" t="n"/>
      <c r="U89" s="164" t="n"/>
      <c r="V89" s="164" t="n"/>
      <c r="W89" s="164" t="n"/>
      <c r="X89" s="164" t="n"/>
    </row>
    <row r="90">
      <c r="P90" s="164" t="n"/>
      <c r="Q90" s="164" t="n"/>
      <c r="R90" s="164" t="n"/>
      <c r="S90" s="164" t="n"/>
      <c r="T90" s="164" t="n"/>
      <c r="U90" s="164" t="n"/>
      <c r="V90" s="164" t="n"/>
      <c r="W90" s="164" t="n"/>
      <c r="X90" s="164" t="n"/>
    </row>
    <row r="91"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</row>
    <row r="92">
      <c r="P92" s="164" t="n"/>
      <c r="Q92" s="164" t="n"/>
      <c r="R92" s="164" t="n"/>
      <c r="S92" s="164" t="n"/>
      <c r="T92" s="164" t="n"/>
      <c r="U92" s="164" t="n"/>
      <c r="V92" s="164" t="n"/>
      <c r="W92" s="164" t="n"/>
      <c r="X92" s="164" t="n"/>
    </row>
    <row r="93">
      <c r="P93" s="164" t="n"/>
      <c r="Q93" s="164" t="n"/>
      <c r="R93" s="164" t="n"/>
      <c r="S93" s="164" t="n"/>
      <c r="T93" s="164" t="n"/>
      <c r="U93" s="164" t="n"/>
      <c r="V93" s="164" t="n"/>
      <c r="W93" s="164" t="n"/>
      <c r="X93" s="164" t="n"/>
    </row>
    <row r="94">
      <c r="P94" s="164" t="n"/>
      <c r="Q94" s="164" t="n"/>
      <c r="R94" s="164" t="n"/>
      <c r="S94" s="164" t="n"/>
      <c r="T94" s="164" t="n"/>
      <c r="U94" s="164" t="n"/>
      <c r="V94" s="164" t="n"/>
      <c r="W94" s="164" t="n"/>
      <c r="X94" s="164" t="n"/>
    </row>
    <row r="95"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</row>
    <row r="96">
      <c r="P96" s="164" t="n"/>
      <c r="Q96" s="164" t="n"/>
      <c r="R96" s="164" t="n"/>
      <c r="S96" s="164" t="n"/>
      <c r="T96" s="164" t="n"/>
      <c r="U96" s="164" t="n"/>
      <c r="V96" s="164" t="n"/>
      <c r="W96" s="164" t="n"/>
      <c r="X96" s="164" t="n"/>
    </row>
    <row r="97">
      <c r="P97" s="164" t="n"/>
      <c r="Q97" s="164" t="n"/>
      <c r="R97" s="164" t="n"/>
      <c r="S97" s="164" t="n"/>
      <c r="T97" s="164" t="n"/>
      <c r="U97" s="164" t="n"/>
      <c r="V97" s="164" t="n"/>
      <c r="W97" s="164" t="n"/>
      <c r="X97" s="164" t="n"/>
    </row>
    <row r="98">
      <c r="P98" s="164" t="n"/>
      <c r="Q98" s="164" t="n"/>
      <c r="R98" s="164" t="n"/>
      <c r="S98" s="164" t="n"/>
      <c r="T98" s="164" t="n"/>
      <c r="U98" s="164" t="n"/>
      <c r="V98" s="164" t="n"/>
      <c r="W98" s="164" t="n"/>
      <c r="X98" s="164" t="n"/>
    </row>
    <row r="99">
      <c r="P99" s="164" t="n"/>
      <c r="Q99" s="164" t="n"/>
      <c r="R99" s="164" t="n"/>
      <c r="S99" s="164" t="n"/>
      <c r="T99" s="164" t="n"/>
      <c r="U99" s="164" t="n"/>
      <c r="V99" s="164" t="n"/>
      <c r="W99" s="164" t="n"/>
      <c r="X99" s="164" t="n"/>
    </row>
    <row r="100">
      <c r="P100" s="164" t="n"/>
      <c r="Q100" s="164" t="n"/>
      <c r="R100" s="164" t="n"/>
      <c r="S100" s="164" t="n"/>
      <c r="T100" s="164" t="n"/>
      <c r="U100" s="164" t="n"/>
      <c r="V100" s="164" t="n"/>
      <c r="W100" s="164" t="n"/>
      <c r="X100" s="164" t="n"/>
    </row>
    <row r="101">
      <c r="P101" s="164" t="n"/>
      <c r="Q101" s="164" t="n"/>
      <c r="R101" s="164" t="n"/>
      <c r="S101" s="164" t="n"/>
      <c r="T101" s="164" t="n"/>
      <c r="U101" s="164" t="n"/>
      <c r="V101" s="164" t="n"/>
      <c r="W101" s="164" t="n"/>
      <c r="X101" s="164" t="n"/>
    </row>
    <row r="102">
      <c r="P102" s="164" t="n"/>
      <c r="Q102" s="164" t="n"/>
      <c r="R102" s="164" t="n"/>
      <c r="S102" s="164" t="n"/>
      <c r="T102" s="164" t="n"/>
      <c r="U102" s="164" t="n"/>
      <c r="V102" s="164" t="n"/>
      <c r="W102" s="164" t="n"/>
      <c r="X102" s="164" t="n"/>
    </row>
    <row r="103">
      <c r="P103" s="164" t="n"/>
      <c r="Q103" s="164" t="n"/>
      <c r="R103" s="164" t="n"/>
      <c r="S103" s="164" t="n"/>
      <c r="T103" s="164" t="n"/>
      <c r="U103" s="164" t="n"/>
      <c r="V103" s="164" t="n"/>
      <c r="W103" s="164" t="n"/>
      <c r="X103" s="164" t="n"/>
    </row>
    <row r="104">
      <c r="P104" s="164" t="n"/>
      <c r="Q104" s="164" t="n"/>
      <c r="R104" s="164" t="n"/>
      <c r="S104" s="164" t="n"/>
      <c r="T104" s="164" t="n"/>
      <c r="U104" s="164" t="n"/>
      <c r="V104" s="164" t="n"/>
      <c r="W104" s="164" t="n"/>
      <c r="X104" s="164" t="n"/>
    </row>
    <row r="105">
      <c r="P105" s="164" t="n"/>
      <c r="Q105" s="164" t="n"/>
      <c r="R105" s="164" t="n"/>
      <c r="S105" s="164" t="n"/>
      <c r="T105" s="164" t="n"/>
      <c r="U105" s="164" t="n"/>
      <c r="V105" s="164" t="n"/>
      <c r="W105" s="164" t="n"/>
      <c r="X105" s="164" t="n"/>
    </row>
    <row r="106">
      <c r="P106" s="164" t="n"/>
      <c r="Q106" s="164" t="n"/>
      <c r="R106" s="164" t="n"/>
      <c r="S106" s="164" t="n"/>
      <c r="T106" s="164" t="n"/>
      <c r="U106" s="164" t="n"/>
      <c r="V106" s="164" t="n"/>
      <c r="W106" s="164" t="n"/>
      <c r="X106" s="164" t="n"/>
    </row>
    <row r="107">
      <c r="P107" s="164" t="n"/>
      <c r="Q107" s="164" t="n"/>
      <c r="R107" s="164" t="n"/>
      <c r="S107" s="164" t="n"/>
      <c r="T107" s="164" t="n"/>
      <c r="U107" s="164" t="n"/>
      <c r="V107" s="164" t="n"/>
      <c r="W107" s="164" t="n"/>
      <c r="X107" s="164" t="n"/>
    </row>
    <row r="108">
      <c r="P108" s="164" t="n"/>
      <c r="Q108" s="164" t="n"/>
      <c r="R108" s="164" t="n"/>
      <c r="S108" s="164" t="n"/>
      <c r="T108" s="164" t="n"/>
      <c r="U108" s="164" t="n"/>
      <c r="V108" s="164" t="n"/>
      <c r="W108" s="164" t="n"/>
      <c r="X108" s="164" t="n"/>
    </row>
    <row r="109">
      <c r="P109" s="164" t="n"/>
      <c r="Q109" s="164" t="n"/>
      <c r="R109" s="164" t="n"/>
      <c r="S109" s="164" t="n"/>
      <c r="T109" s="164" t="n"/>
      <c r="U109" s="164" t="n"/>
      <c r="V109" s="164" t="n"/>
      <c r="W109" s="164" t="n"/>
      <c r="X109" s="164" t="n"/>
    </row>
    <row r="110">
      <c r="P110" s="164" t="n"/>
      <c r="Q110" s="164" t="n"/>
      <c r="R110" s="164" t="n"/>
      <c r="S110" s="164" t="n"/>
      <c r="T110" s="164" t="n"/>
      <c r="U110" s="164" t="n"/>
      <c r="V110" s="164" t="n"/>
      <c r="W110" s="164" t="n"/>
      <c r="X110" s="164" t="n"/>
    </row>
    <row r="111">
      <c r="P111" s="164" t="n"/>
      <c r="Q111" s="164" t="n"/>
      <c r="R111" s="164" t="n"/>
      <c r="S111" s="164" t="n"/>
      <c r="T111" s="164" t="n"/>
      <c r="U111" s="164" t="n"/>
      <c r="V111" s="164" t="n"/>
      <c r="W111" s="164" t="n"/>
      <c r="X111" s="164" t="n"/>
    </row>
    <row r="112">
      <c r="P112" s="164" t="n"/>
      <c r="Q112" s="164" t="n"/>
      <c r="R112" s="164" t="n"/>
      <c r="S112" s="164" t="n"/>
      <c r="T112" s="164" t="n"/>
      <c r="U112" s="164" t="n"/>
      <c r="V112" s="164" t="n"/>
      <c r="W112" s="164" t="n"/>
      <c r="X112" s="164" t="n"/>
    </row>
    <row r="113">
      <c r="P113" s="164" t="n"/>
      <c r="Q113" s="164" t="n"/>
      <c r="R113" s="164" t="n"/>
      <c r="S113" s="164" t="n"/>
      <c r="T113" s="164" t="n"/>
      <c r="U113" s="164" t="n"/>
      <c r="V113" s="164" t="n"/>
      <c r="W113" s="164" t="n"/>
      <c r="X113" s="164" t="n"/>
    </row>
    <row r="114">
      <c r="P114" s="164" t="n"/>
      <c r="Q114" s="164" t="n"/>
      <c r="R114" s="164" t="n"/>
      <c r="S114" s="164" t="n"/>
      <c r="T114" s="164" t="n"/>
      <c r="U114" s="164" t="n"/>
      <c r="V114" s="164" t="n"/>
      <c r="W114" s="164" t="n"/>
      <c r="X114" s="164" t="n"/>
    </row>
    <row r="115">
      <c r="P115" s="164" t="n"/>
      <c r="Q115" s="164" t="n"/>
      <c r="R115" s="164" t="n"/>
      <c r="S115" s="164" t="n"/>
      <c r="T115" s="164" t="n"/>
      <c r="U115" s="164" t="n"/>
      <c r="V115" s="164" t="n"/>
      <c r="W115" s="164" t="n"/>
      <c r="X115" s="164" t="n"/>
    </row>
    <row r="116">
      <c r="P116" s="164" t="n"/>
      <c r="Q116" s="164" t="n"/>
      <c r="R116" s="164" t="n"/>
      <c r="S116" s="164" t="n"/>
      <c r="T116" s="164" t="n"/>
      <c r="U116" s="164" t="n"/>
      <c r="V116" s="164" t="n"/>
      <c r="W116" s="164" t="n"/>
      <c r="X116" s="164" t="n"/>
    </row>
    <row r="117">
      <c r="P117" s="164" t="n"/>
      <c r="Q117" s="164" t="n"/>
      <c r="R117" s="164" t="n"/>
      <c r="S117" s="164" t="n"/>
      <c r="T117" s="164" t="n"/>
      <c r="U117" s="164" t="n"/>
      <c r="V117" s="164" t="n"/>
      <c r="W117" s="164" t="n"/>
      <c r="X117" s="164" t="n"/>
    </row>
    <row r="118"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</row>
    <row r="119">
      <c r="P119" s="164" t="n"/>
      <c r="Q119" s="164" t="n"/>
      <c r="R119" s="164" t="n"/>
      <c r="S119" s="164" t="n"/>
      <c r="T119" s="164" t="n"/>
      <c r="U119" s="164" t="n"/>
      <c r="V119" s="164" t="n"/>
      <c r="W119" s="164" t="n"/>
      <c r="X119" s="16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2:Q1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4" topLeftCell="B5" activePane="bottomRight" state="frozen"/>
      <selection pane="topRight" activeCell="A1" sqref="A1"/>
      <selection pane="bottomLeft" activeCell="A1" sqref="A1"/>
      <selection pane="bottomRight" activeCell="A1" activeCellId="0" sqref="A1"/>
    </sheetView>
  </sheetViews>
  <sheetFormatPr baseColWidth="8" defaultColWidth="8.6796875" defaultRowHeight="15" zeroHeight="0" outlineLevelRow="0"/>
  <cols>
    <col width="12" customWidth="1" style="57" min="1" max="1"/>
    <col width="12" customWidth="1" style="57" min="2" max="9"/>
    <col width="12" customWidth="1" style="58" min="3" max="3"/>
    <col width="12" customWidth="1" style="58" min="4" max="4"/>
    <col width="12" customWidth="1" style="58" min="5" max="5"/>
    <col width="12" customWidth="1" style="58" min="6" max="6"/>
    <col width="12" customWidth="1" style="58" min="7" max="7"/>
    <col width="12" customWidth="1" style="58" min="8" max="8"/>
    <col width="12" customWidth="1" style="58" min="9" max="9"/>
    <col width="12" customWidth="1" style="58" min="10" max="10"/>
    <col width="12" customWidth="1" style="58" min="11" max="11"/>
    <col width="12" customWidth="1" style="58" min="12" max="12"/>
    <col width="12" customWidth="1" style="58" min="13" max="13"/>
    <col width="12" customWidth="1" style="58" min="14" max="14"/>
    <col width="12" customWidth="1" style="58" min="15" max="15"/>
    <col width="12" customWidth="1" style="58" min="16" max="16"/>
    <col width="12" customWidth="1" style="58" min="17" max="17"/>
  </cols>
  <sheetData>
    <row r="1" ht="19.5" customHeight="1" s="58"/>
    <row r="2" ht="19.5" customHeight="1" s="58">
      <c r="B2" s="59" t="inlineStr">
        <is>
          <t>WEEKLY CASH FLOW</t>
        </is>
      </c>
    </row>
    <row r="3" ht="19.5" customHeight="1" s="58"/>
    <row r="4" ht="19.5" customHeight="1" s="58">
      <c r="B4" s="82" t="inlineStr">
        <is>
          <t>Week</t>
        </is>
      </c>
      <c r="C4" s="82" t="inlineStr">
        <is>
          <t>Date</t>
        </is>
      </c>
      <c r="D4" s="82" t="inlineStr">
        <is>
          <t>Amazon Payout</t>
        </is>
      </c>
      <c r="E4" s="82" t="inlineStr">
        <is>
          <t>Inventory Purchase</t>
        </is>
      </c>
      <c r="F4" s="82" t="inlineStr">
        <is>
          <t>Fixed Costs</t>
        </is>
      </c>
      <c r="G4" s="82" t="inlineStr">
        <is>
          <t>Net Cash</t>
        </is>
      </c>
      <c r="H4" s="82" t="inlineStr">
        <is>
          <t>Cash Balance</t>
        </is>
      </c>
      <c r="I4" s="154" t="inlineStr">
        <is>
          <t>Month Num</t>
        </is>
      </c>
      <c r="J4" s="154" t="inlineStr">
        <is>
          <t>Quarter Num</t>
        </is>
      </c>
      <c r="K4" s="154" t="inlineStr">
        <is>
          <t>Period</t>
        </is>
      </c>
      <c r="L4" s="154" t="inlineStr">
        <is>
          <t>Amazon Payout</t>
        </is>
      </c>
      <c r="M4" s="154" t="inlineStr">
        <is>
          <t>Inventory Purchase</t>
        </is>
      </c>
      <c r="N4" s="154" t="inlineStr">
        <is>
          <t>Fixed Costs</t>
        </is>
      </c>
      <c r="O4" s="154" t="inlineStr">
        <is>
          <t>Net Cash</t>
        </is>
      </c>
      <c r="P4" s="154" t="inlineStr">
        <is>
          <t>Closing Cash</t>
        </is>
      </c>
    </row>
    <row r="5" ht="19.5" customHeight="1" s="58">
      <c r="B5" s="83" t="n">
        <v>1</v>
      </c>
      <c r="C5" s="84" t="n">
        <v>45663</v>
      </c>
      <c r="D5" s="126" t="n">
        <v>0</v>
      </c>
      <c r="E5" s="122">
        <f>IF($C5="","",SUMIFS('2. Ops Planning'!$J$5:$J$200,'2. Ops Planning'!$H$5:$H$200,"&gt;="&amp;$C5,'2. Ops Planning'!$H$5:$H$200,"&lt;"&amp;$C5+7)+SUMIFS('2. Ops Planning'!$M$5:$M$200,'2. Ops Planning'!$K$5:$K$200,"&gt;="&amp;$C5,'2. Ops Planning'!$K$5:$K$200,"&lt;"&amp;$C5+7)+SUMIFS('2. Ops Planning'!$P$5:$P$200,'2. Ops Planning'!$N$5:$N$200,"&gt;="&amp;$C5,'2. Ops Planning'!$N$5:$N$200,"&lt;"&amp;$C5+7))</f>
        <v/>
      </c>
      <c r="F5" s="123">
        <f>IF($B5="","",'1. Product Setup'!$C$20)</f>
        <v/>
      </c>
      <c r="G5" s="124">
        <f>IF($B5="","",D5-E5-F5)</f>
        <v/>
      </c>
      <c r="H5" s="124">
        <f>IF($B5="","",IF($B5=1,'1. Product Setup'!$C$18+G5,H4+G5))</f>
        <v/>
      </c>
      <c r="I5" s="162">
        <f>IF($C5="","",MONTH($C5))</f>
        <v/>
      </c>
      <c r="J5" s="162">
        <f>IF($C5="","",ROUNDUP(MONTH($C5)/3,0))</f>
        <v/>
      </c>
      <c r="K5" s="150" t="inlineStr">
        <is>
          <t>Jan</t>
        </is>
      </c>
      <c r="L5" s="163">
        <f>SUMIFS($D$5:$D$56,$I$5:$I$56,1)</f>
        <v/>
      </c>
      <c r="M5" s="163">
        <f>SUMIFS($E$5:$E$56,$I$5:$I$56,1)</f>
        <v/>
      </c>
      <c r="N5" s="163">
        <f>SUMIFS($F$5:$F$56,$I$5:$I$56,1)</f>
        <v/>
      </c>
      <c r="O5" s="163">
        <f>L5-M5-N5</f>
        <v/>
      </c>
      <c r="P5" s="163">
        <f>IFERROR(LOOKUP(2,1/((YEAR($C$5:$C$56)=2025)*(MONTH($C$5:$C$56)=1)),$H$5:$H$56),0)</f>
        <v/>
      </c>
    </row>
    <row r="6" ht="19.5" customHeight="1" s="58">
      <c r="B6" s="83" t="n">
        <v>2</v>
      </c>
      <c r="C6" s="84" t="n">
        <v>45670</v>
      </c>
      <c r="D6" s="126" t="n">
        <v>0</v>
      </c>
      <c r="E6" s="122">
        <f>IF($C6="","",SUMIFS('2. Ops Planning'!$J$5:$J$200,'2. Ops Planning'!$H$5:$H$200,"&gt;="&amp;$C6,'2. Ops Planning'!$H$5:$H$200,"&lt;"&amp;$C6+7)+SUMIFS('2. Ops Planning'!$M$5:$M$200,'2. Ops Planning'!$K$5:$K$200,"&gt;="&amp;$C6,'2. Ops Planning'!$K$5:$K$200,"&lt;"&amp;$C6+7)+SUMIFS('2. Ops Planning'!$P$5:$P$200,'2. Ops Planning'!$N$5:$N$200,"&gt;="&amp;$C6,'2. Ops Planning'!$N$5:$N$200,"&lt;"&amp;$C6+7))</f>
        <v/>
      </c>
      <c r="F6" s="123">
        <f>IF($B6="","",'1. Product Setup'!$C$20)</f>
        <v/>
      </c>
      <c r="G6" s="124">
        <f>IF($B6="","",D6-E6-F6)</f>
        <v/>
      </c>
      <c r="H6" s="124">
        <f>IF($B6="","",IF($B6=1,'1. Product Setup'!$C$18+G6,H5+G6))</f>
        <v/>
      </c>
      <c r="I6" s="162">
        <f>IF($C6="","",MONTH($C6))</f>
        <v/>
      </c>
      <c r="J6" s="162">
        <f>IF($C6="","",ROUNDUP(MONTH($C6)/3,0))</f>
        <v/>
      </c>
      <c r="K6" s="150" t="inlineStr">
        <is>
          <t>Feb</t>
        </is>
      </c>
      <c r="L6" s="163">
        <f>SUMIFS($D$5:$D$56,$I$5:$I$56,2)</f>
        <v/>
      </c>
      <c r="M6" s="163">
        <f>SUMIFS($E$5:$E$56,$I$5:$I$56,2)</f>
        <v/>
      </c>
      <c r="N6" s="163">
        <f>SUMIFS($F$5:$F$56,$I$5:$I$56,2)</f>
        <v/>
      </c>
      <c r="O6" s="163">
        <f>L6-M6-N6</f>
        <v/>
      </c>
      <c r="P6" s="163">
        <f>IFERROR(LOOKUP(2,1/((YEAR($C$5:$C$56)=2025)*(MONTH($C$5:$C$56)=2)),$H$5:$H$56),0)</f>
        <v/>
      </c>
    </row>
    <row r="7" ht="19.5" customHeight="1" s="58">
      <c r="B7" s="83" t="n">
        <v>3</v>
      </c>
      <c r="C7" s="84" t="n">
        <v>45677</v>
      </c>
      <c r="D7" s="126">
        <f>'4. Fin Planning P&amp;L'!E5-'4. Fin Planning P&amp;L'!I5-'4. Fin Planning P&amp;L'!J5</f>
        <v/>
      </c>
      <c r="E7" s="122">
        <f>IF($C7="","",SUMIFS('2. Ops Planning'!$J$5:$J$200,'2. Ops Planning'!$H$5:$H$200,"&gt;="&amp;$C7,'2. Ops Planning'!$H$5:$H$200,"&lt;"&amp;$C7+7)+SUMIFS('2. Ops Planning'!$M$5:$M$200,'2. Ops Planning'!$K$5:$K$200,"&gt;="&amp;$C7,'2. Ops Planning'!$K$5:$K$200,"&lt;"&amp;$C7+7)+SUMIFS('2. Ops Planning'!$P$5:$P$200,'2. Ops Planning'!$N$5:$N$200,"&gt;="&amp;$C7,'2. Ops Planning'!$N$5:$N$200,"&lt;"&amp;$C7+7))</f>
        <v/>
      </c>
      <c r="F7" s="123">
        <f>IF($B7="","",'1. Product Setup'!$C$20)</f>
        <v/>
      </c>
      <c r="G7" s="124">
        <f>IF($B7="","",D7-E7-F7)</f>
        <v/>
      </c>
      <c r="H7" s="124">
        <f>IF($B7="","",IF($B7=1,'1. Product Setup'!$C$18+G7,H6+G7))</f>
        <v/>
      </c>
      <c r="I7" s="162">
        <f>IF($C7="","",MONTH($C7))</f>
        <v/>
      </c>
      <c r="J7" s="162">
        <f>IF($C7="","",ROUNDUP(MONTH($C7)/3,0))</f>
        <v/>
      </c>
      <c r="K7" s="150" t="inlineStr">
        <is>
          <t>Mar</t>
        </is>
      </c>
      <c r="L7" s="163">
        <f>SUMIFS($D$5:$D$56,$I$5:$I$56,3)</f>
        <v/>
      </c>
      <c r="M7" s="163">
        <f>SUMIFS($E$5:$E$56,$I$5:$I$56,3)</f>
        <v/>
      </c>
      <c r="N7" s="163">
        <f>SUMIFS($F$5:$F$56,$I$5:$I$56,3)</f>
        <v/>
      </c>
      <c r="O7" s="163">
        <f>L7-M7-N7</f>
        <v/>
      </c>
      <c r="P7" s="163">
        <f>IFERROR(LOOKUP(2,1/((YEAR($C$5:$C$56)=2025)*(MONTH($C$5:$C$56)=3)),$H$5:$H$56),0)</f>
        <v/>
      </c>
    </row>
    <row r="8" ht="19.5" customHeight="1" s="58">
      <c r="B8" s="83" t="n">
        <v>4</v>
      </c>
      <c r="C8" s="84" t="n">
        <v>45684</v>
      </c>
      <c r="D8" s="126">
        <f>'4. Fin Planning P&amp;L'!E6-'4. Fin Planning P&amp;L'!I6-'4. Fin Planning P&amp;L'!J6</f>
        <v/>
      </c>
      <c r="E8" s="122">
        <f>IF($C8="","",SUMIFS('2. Ops Planning'!$J$5:$J$200,'2. Ops Planning'!$H$5:$H$200,"&gt;="&amp;$C8,'2. Ops Planning'!$H$5:$H$200,"&lt;"&amp;$C8+7)+SUMIFS('2. Ops Planning'!$M$5:$M$200,'2. Ops Planning'!$K$5:$K$200,"&gt;="&amp;$C8,'2. Ops Planning'!$K$5:$K$200,"&lt;"&amp;$C8+7)+SUMIFS('2. Ops Planning'!$P$5:$P$200,'2. Ops Planning'!$N$5:$N$200,"&gt;="&amp;$C8,'2. Ops Planning'!$N$5:$N$200,"&lt;"&amp;$C8+7))</f>
        <v/>
      </c>
      <c r="F8" s="123">
        <f>IF($B8="","",'1. Product Setup'!$C$20)</f>
        <v/>
      </c>
      <c r="G8" s="124">
        <f>IF($B8="","",D8-E8-F8)</f>
        <v/>
      </c>
      <c r="H8" s="124">
        <f>IF($B8="","",IF($B8=1,'1. Product Setup'!$C$18+G8,H7+G8))</f>
        <v/>
      </c>
      <c r="I8" s="162">
        <f>IF($C8="","",MONTH($C8))</f>
        <v/>
      </c>
      <c r="J8" s="162">
        <f>IF($C8="","",ROUNDUP(MONTH($C8)/3,0))</f>
        <v/>
      </c>
      <c r="K8" s="150" t="inlineStr">
        <is>
          <t>Apr</t>
        </is>
      </c>
      <c r="L8" s="163">
        <f>SUMIFS($D$5:$D$56,$I$5:$I$56,4)</f>
        <v/>
      </c>
      <c r="M8" s="163">
        <f>SUMIFS($E$5:$E$56,$I$5:$I$56,4)</f>
        <v/>
      </c>
      <c r="N8" s="163">
        <f>SUMIFS($F$5:$F$56,$I$5:$I$56,4)</f>
        <v/>
      </c>
      <c r="O8" s="163">
        <f>L8-M8-N8</f>
        <v/>
      </c>
      <c r="P8" s="163">
        <f>IFERROR(LOOKUP(2,1/((YEAR($C$5:$C$56)=2025)*(MONTH($C$5:$C$56)=4)),$H$5:$H$56),0)</f>
        <v/>
      </c>
    </row>
    <row r="9" ht="19.5" customHeight="1" s="58">
      <c r="B9" s="83" t="n">
        <v>5</v>
      </c>
      <c r="C9" s="84" t="n">
        <v>45691</v>
      </c>
      <c r="D9" s="126">
        <f>'4. Fin Planning P&amp;L'!E7-'4. Fin Planning P&amp;L'!I7-'4. Fin Planning P&amp;L'!J7</f>
        <v/>
      </c>
      <c r="E9" s="122">
        <f>IF($C9="","",SUMIFS('2. Ops Planning'!$J$5:$J$200,'2. Ops Planning'!$H$5:$H$200,"&gt;="&amp;$C9,'2. Ops Planning'!$H$5:$H$200,"&lt;"&amp;$C9+7)+SUMIFS('2. Ops Planning'!$M$5:$M$200,'2. Ops Planning'!$K$5:$K$200,"&gt;="&amp;$C9,'2. Ops Planning'!$K$5:$K$200,"&lt;"&amp;$C9+7)+SUMIFS('2. Ops Planning'!$P$5:$P$200,'2. Ops Planning'!$N$5:$N$200,"&gt;="&amp;$C9,'2. Ops Planning'!$N$5:$N$200,"&lt;"&amp;$C9+7))</f>
        <v/>
      </c>
      <c r="F9" s="123">
        <f>IF($B9="","",'1. Product Setup'!$C$20)</f>
        <v/>
      </c>
      <c r="G9" s="124">
        <f>IF($B9="","",D9-E9-F9)</f>
        <v/>
      </c>
      <c r="H9" s="124">
        <f>IF($B9="","",IF($B9=1,'1. Product Setup'!$C$18+G9,H8+G9))</f>
        <v/>
      </c>
      <c r="I9" s="162">
        <f>IF($C9="","",MONTH($C9))</f>
        <v/>
      </c>
      <c r="J9" s="162">
        <f>IF($C9="","",ROUNDUP(MONTH($C9)/3,0))</f>
        <v/>
      </c>
      <c r="K9" s="150" t="inlineStr">
        <is>
          <t>May</t>
        </is>
      </c>
      <c r="L9" s="163">
        <f>SUMIFS($D$5:$D$56,$I$5:$I$56,5)</f>
        <v/>
      </c>
      <c r="M9" s="163">
        <f>SUMIFS($E$5:$E$56,$I$5:$I$56,5)</f>
        <v/>
      </c>
      <c r="N9" s="163">
        <f>SUMIFS($F$5:$F$56,$I$5:$I$56,5)</f>
        <v/>
      </c>
      <c r="O9" s="163">
        <f>L9-M9-N9</f>
        <v/>
      </c>
      <c r="P9" s="163">
        <f>IFERROR(LOOKUP(2,1/((YEAR($C$5:$C$56)=2025)*(MONTH($C$5:$C$56)=5)),$H$5:$H$56),0)</f>
        <v/>
      </c>
    </row>
    <row r="10" ht="19.5" customHeight="1" s="58">
      <c r="B10" s="83" t="n">
        <v>6</v>
      </c>
      <c r="C10" s="84" t="n">
        <v>45698</v>
      </c>
      <c r="D10" s="126">
        <f>'4. Fin Planning P&amp;L'!E8-'4. Fin Planning P&amp;L'!I8-'4. Fin Planning P&amp;L'!J8</f>
        <v/>
      </c>
      <c r="E10" s="122">
        <f>IF($C10="","",SUMIFS('2. Ops Planning'!$J$5:$J$200,'2. Ops Planning'!$H$5:$H$200,"&gt;="&amp;$C10,'2. Ops Planning'!$H$5:$H$200,"&lt;"&amp;$C10+7)+SUMIFS('2. Ops Planning'!$M$5:$M$200,'2. Ops Planning'!$K$5:$K$200,"&gt;="&amp;$C10,'2. Ops Planning'!$K$5:$K$200,"&lt;"&amp;$C10+7)+SUMIFS('2. Ops Planning'!$P$5:$P$200,'2. Ops Planning'!$N$5:$N$200,"&gt;="&amp;$C10,'2. Ops Planning'!$N$5:$N$200,"&lt;"&amp;$C10+7))</f>
        <v/>
      </c>
      <c r="F10" s="123">
        <f>IF($B10="","",'1. Product Setup'!$C$20)</f>
        <v/>
      </c>
      <c r="G10" s="124">
        <f>IF($B10="","",D10-E10-F10)</f>
        <v/>
      </c>
      <c r="H10" s="124">
        <f>IF($B10="","",IF($B10=1,'1. Product Setup'!$C$18+G10,H9+G10))</f>
        <v/>
      </c>
      <c r="I10" s="162">
        <f>IF($C10="","",MONTH($C10))</f>
        <v/>
      </c>
      <c r="J10" s="162">
        <f>IF($C10="","",ROUNDUP(MONTH($C10)/3,0))</f>
        <v/>
      </c>
      <c r="K10" s="150" t="inlineStr">
        <is>
          <t>Jun</t>
        </is>
      </c>
      <c r="L10" s="163">
        <f>SUMIFS($D$5:$D$56,$I$5:$I$56,6)</f>
        <v/>
      </c>
      <c r="M10" s="163">
        <f>SUMIFS($E$5:$E$56,$I$5:$I$56,6)</f>
        <v/>
      </c>
      <c r="N10" s="163">
        <f>SUMIFS($F$5:$F$56,$I$5:$I$56,6)</f>
        <v/>
      </c>
      <c r="O10" s="163">
        <f>L10-M10-N10</f>
        <v/>
      </c>
      <c r="P10" s="163">
        <f>IFERROR(LOOKUP(2,1/((YEAR($C$5:$C$56)=2025)*(MONTH($C$5:$C$56)=6)),$H$5:$H$56),0)</f>
        <v/>
      </c>
    </row>
    <row r="11" ht="19.5" customHeight="1" s="58">
      <c r="B11" s="83" t="n">
        <v>7</v>
      </c>
      <c r="C11" s="84" t="n">
        <v>45705</v>
      </c>
      <c r="D11" s="126">
        <f>'4. Fin Planning P&amp;L'!E9-'4. Fin Planning P&amp;L'!I9-'4. Fin Planning P&amp;L'!J9</f>
        <v/>
      </c>
      <c r="E11" s="122">
        <f>IF($C11="","",SUMIFS('2. Ops Planning'!$J$5:$J$200,'2. Ops Planning'!$H$5:$H$200,"&gt;="&amp;$C11,'2. Ops Planning'!$H$5:$H$200,"&lt;"&amp;$C11+7)+SUMIFS('2. Ops Planning'!$M$5:$M$200,'2. Ops Planning'!$K$5:$K$200,"&gt;="&amp;$C11,'2. Ops Planning'!$K$5:$K$200,"&lt;"&amp;$C11+7)+SUMIFS('2. Ops Planning'!$P$5:$P$200,'2. Ops Planning'!$N$5:$N$200,"&gt;="&amp;$C11,'2. Ops Planning'!$N$5:$N$200,"&lt;"&amp;$C11+7))</f>
        <v/>
      </c>
      <c r="F11" s="123">
        <f>IF($B11="","",'1. Product Setup'!$C$20)</f>
        <v/>
      </c>
      <c r="G11" s="124">
        <f>IF($B11="","",D11-E11-F11)</f>
        <v/>
      </c>
      <c r="H11" s="124">
        <f>IF($B11="","",IF($B11=1,'1. Product Setup'!$C$18+G11,H10+G11))</f>
        <v/>
      </c>
      <c r="I11" s="162">
        <f>IF($C11="","",MONTH($C11))</f>
        <v/>
      </c>
      <c r="J11" s="162">
        <f>IF($C11="","",ROUNDUP(MONTH($C11)/3,0))</f>
        <v/>
      </c>
      <c r="K11" s="150" t="inlineStr">
        <is>
          <t>Jul</t>
        </is>
      </c>
      <c r="L11" s="163">
        <f>SUMIFS($D$5:$D$56,$I$5:$I$56,7)</f>
        <v/>
      </c>
      <c r="M11" s="163">
        <f>SUMIFS($E$5:$E$56,$I$5:$I$56,7)</f>
        <v/>
      </c>
      <c r="N11" s="163">
        <f>SUMIFS($F$5:$F$56,$I$5:$I$56,7)</f>
        <v/>
      </c>
      <c r="O11" s="163">
        <f>L11-M11-N11</f>
        <v/>
      </c>
      <c r="P11" s="163">
        <f>IFERROR(LOOKUP(2,1/((YEAR($C$5:$C$56)=2025)*(MONTH($C$5:$C$56)=7)),$H$5:$H$56),0)</f>
        <v/>
      </c>
    </row>
    <row r="12" ht="19.5" customHeight="1" s="58">
      <c r="B12" s="83" t="n">
        <v>8</v>
      </c>
      <c r="C12" s="84" t="n">
        <v>45712</v>
      </c>
      <c r="D12" s="126">
        <f>'4. Fin Planning P&amp;L'!E10-'4. Fin Planning P&amp;L'!I10-'4. Fin Planning P&amp;L'!J10</f>
        <v/>
      </c>
      <c r="E12" s="122">
        <f>IF($C12="","",SUMIFS('2. Ops Planning'!$J$5:$J$200,'2. Ops Planning'!$H$5:$H$200,"&gt;="&amp;$C12,'2. Ops Planning'!$H$5:$H$200,"&lt;"&amp;$C12+7)+SUMIFS('2. Ops Planning'!$M$5:$M$200,'2. Ops Planning'!$K$5:$K$200,"&gt;="&amp;$C12,'2. Ops Planning'!$K$5:$K$200,"&lt;"&amp;$C12+7)+SUMIFS('2. Ops Planning'!$P$5:$P$200,'2. Ops Planning'!$N$5:$N$200,"&gt;="&amp;$C12,'2. Ops Planning'!$N$5:$N$200,"&lt;"&amp;$C12+7))</f>
        <v/>
      </c>
      <c r="F12" s="123">
        <f>IF($B12="","",'1. Product Setup'!$C$20)</f>
        <v/>
      </c>
      <c r="G12" s="124">
        <f>IF($B12="","",D12-E12-F12)</f>
        <v/>
      </c>
      <c r="H12" s="124">
        <f>IF($B12="","",IF($B12=1,'1. Product Setup'!$C$18+G12,H11+G12))</f>
        <v/>
      </c>
      <c r="I12" s="162">
        <f>IF($C12="","",MONTH($C12))</f>
        <v/>
      </c>
      <c r="J12" s="162">
        <f>IF($C12="","",ROUNDUP(MONTH($C12)/3,0))</f>
        <v/>
      </c>
      <c r="K12" s="150" t="inlineStr">
        <is>
          <t>Aug</t>
        </is>
      </c>
      <c r="L12" s="163">
        <f>SUMIFS($D$5:$D$56,$I$5:$I$56,8)</f>
        <v/>
      </c>
      <c r="M12" s="163">
        <f>SUMIFS($E$5:$E$56,$I$5:$I$56,8)</f>
        <v/>
      </c>
      <c r="N12" s="163">
        <f>SUMIFS($F$5:$F$56,$I$5:$I$56,8)</f>
        <v/>
      </c>
      <c r="O12" s="163">
        <f>L12-M12-N12</f>
        <v/>
      </c>
      <c r="P12" s="163">
        <f>IFERROR(LOOKUP(2,1/((YEAR($C$5:$C$56)=2025)*(MONTH($C$5:$C$56)=8)),$H$5:$H$56),0)</f>
        <v/>
      </c>
    </row>
    <row r="13" ht="19.5" customHeight="1" s="58">
      <c r="B13" s="83" t="n">
        <v>9</v>
      </c>
      <c r="C13" s="84" t="n">
        <v>45719</v>
      </c>
      <c r="D13" s="126">
        <f>'4. Fin Planning P&amp;L'!E11-'4. Fin Planning P&amp;L'!I11-'4. Fin Planning P&amp;L'!J11</f>
        <v/>
      </c>
      <c r="E13" s="122">
        <f>IF($C13="","",SUMIFS('2. Ops Planning'!$J$5:$J$200,'2. Ops Planning'!$H$5:$H$200,"&gt;="&amp;$C13,'2. Ops Planning'!$H$5:$H$200,"&lt;"&amp;$C13+7)+SUMIFS('2. Ops Planning'!$M$5:$M$200,'2. Ops Planning'!$K$5:$K$200,"&gt;="&amp;$C13,'2. Ops Planning'!$K$5:$K$200,"&lt;"&amp;$C13+7)+SUMIFS('2. Ops Planning'!$P$5:$P$200,'2. Ops Planning'!$N$5:$N$200,"&gt;="&amp;$C13,'2. Ops Planning'!$N$5:$N$200,"&lt;"&amp;$C13+7))</f>
        <v/>
      </c>
      <c r="F13" s="123">
        <f>IF($B13="","",'1. Product Setup'!$C$20)</f>
        <v/>
      </c>
      <c r="G13" s="124">
        <f>IF($B13="","",D13-E13-F13)</f>
        <v/>
      </c>
      <c r="H13" s="124">
        <f>IF($B13="","",IF($B13=1,'1. Product Setup'!$C$18+G13,H12+G13))</f>
        <v/>
      </c>
      <c r="I13" s="162">
        <f>IF($C13="","",MONTH($C13))</f>
        <v/>
      </c>
      <c r="J13" s="162">
        <f>IF($C13="","",ROUNDUP(MONTH($C13)/3,0))</f>
        <v/>
      </c>
      <c r="K13" s="150" t="inlineStr">
        <is>
          <t>Sep</t>
        </is>
      </c>
      <c r="L13" s="163">
        <f>SUMIFS($D$5:$D$56,$I$5:$I$56,9)</f>
        <v/>
      </c>
      <c r="M13" s="163">
        <f>SUMIFS($E$5:$E$56,$I$5:$I$56,9)</f>
        <v/>
      </c>
      <c r="N13" s="163">
        <f>SUMIFS($F$5:$F$56,$I$5:$I$56,9)</f>
        <v/>
      </c>
      <c r="O13" s="163">
        <f>L13-M13-N13</f>
        <v/>
      </c>
      <c r="P13" s="163">
        <f>IFERROR(LOOKUP(2,1/((YEAR($C$5:$C$56)=2025)*(MONTH($C$5:$C$56)=9)),$H$5:$H$56),0)</f>
        <v/>
      </c>
    </row>
    <row r="14" ht="19.5" customHeight="1" s="58">
      <c r="B14" s="83" t="n">
        <v>10</v>
      </c>
      <c r="C14" s="84" t="n">
        <v>45726</v>
      </c>
      <c r="D14" s="126">
        <f>'4. Fin Planning P&amp;L'!E12-'4. Fin Planning P&amp;L'!I12-'4. Fin Planning P&amp;L'!J12</f>
        <v/>
      </c>
      <c r="E14" s="122">
        <f>IF($C14="","",SUMIFS('2. Ops Planning'!$J$5:$J$200,'2. Ops Planning'!$H$5:$H$200,"&gt;="&amp;$C14,'2. Ops Planning'!$H$5:$H$200,"&lt;"&amp;$C14+7)+SUMIFS('2. Ops Planning'!$M$5:$M$200,'2. Ops Planning'!$K$5:$K$200,"&gt;="&amp;$C14,'2. Ops Planning'!$K$5:$K$200,"&lt;"&amp;$C14+7)+SUMIFS('2. Ops Planning'!$P$5:$P$200,'2. Ops Planning'!$N$5:$N$200,"&gt;="&amp;$C14,'2. Ops Planning'!$N$5:$N$200,"&lt;"&amp;$C14+7))</f>
        <v/>
      </c>
      <c r="F14" s="123">
        <f>IF($B14="","",'1. Product Setup'!$C$20)</f>
        <v/>
      </c>
      <c r="G14" s="124">
        <f>IF($B14="","",D14-E14-F14)</f>
        <v/>
      </c>
      <c r="H14" s="124">
        <f>IF($B14="","",IF($B14=1,'1. Product Setup'!$C$18+G14,H13+G14))</f>
        <v/>
      </c>
      <c r="I14" s="162">
        <f>IF($C14="","",MONTH($C14))</f>
        <v/>
      </c>
      <c r="J14" s="162">
        <f>IF($C14="","",ROUNDUP(MONTH($C14)/3,0))</f>
        <v/>
      </c>
      <c r="K14" s="150" t="inlineStr">
        <is>
          <t>Oct</t>
        </is>
      </c>
      <c r="L14" s="163">
        <f>SUMIFS($D$5:$D$56,$I$5:$I$56,10)</f>
        <v/>
      </c>
      <c r="M14" s="163">
        <f>SUMIFS($E$5:$E$56,$I$5:$I$56,10)</f>
        <v/>
      </c>
      <c r="N14" s="163">
        <f>SUMIFS($F$5:$F$56,$I$5:$I$56,10)</f>
        <v/>
      </c>
      <c r="O14" s="163">
        <f>L14-M14-N14</f>
        <v/>
      </c>
      <c r="P14" s="163">
        <f>IFERROR(LOOKUP(2,1/((YEAR($C$5:$C$56)=2025)*(MONTH($C$5:$C$56)=10)),$H$5:$H$56),0)</f>
        <v/>
      </c>
    </row>
    <row r="15" ht="19.5" customHeight="1" s="58">
      <c r="B15" s="83" t="n">
        <v>11</v>
      </c>
      <c r="C15" s="84" t="n">
        <v>45733</v>
      </c>
      <c r="D15" s="126">
        <f>'4. Fin Planning P&amp;L'!E13-'4. Fin Planning P&amp;L'!I13-'4. Fin Planning P&amp;L'!J13</f>
        <v/>
      </c>
      <c r="E15" s="122">
        <f>IF($C15="","",SUMIFS('2. Ops Planning'!$J$5:$J$200,'2. Ops Planning'!$H$5:$H$200,"&gt;="&amp;$C15,'2. Ops Planning'!$H$5:$H$200,"&lt;"&amp;$C15+7)+SUMIFS('2. Ops Planning'!$M$5:$M$200,'2. Ops Planning'!$K$5:$K$200,"&gt;="&amp;$C15,'2. Ops Planning'!$K$5:$K$200,"&lt;"&amp;$C15+7)+SUMIFS('2. Ops Planning'!$P$5:$P$200,'2. Ops Planning'!$N$5:$N$200,"&gt;="&amp;$C15,'2. Ops Planning'!$N$5:$N$200,"&lt;"&amp;$C15+7))</f>
        <v/>
      </c>
      <c r="F15" s="123">
        <f>IF($B15="","",'1. Product Setup'!$C$20)</f>
        <v/>
      </c>
      <c r="G15" s="124">
        <f>IF($B15="","",D15-E15-F15)</f>
        <v/>
      </c>
      <c r="H15" s="124">
        <f>IF($B15="","",IF($B15=1,'1. Product Setup'!$C$18+G15,H14+G15))</f>
        <v/>
      </c>
      <c r="I15" s="162">
        <f>IF($C15="","",MONTH($C15))</f>
        <v/>
      </c>
      <c r="J15" s="162">
        <f>IF($C15="","",ROUNDUP(MONTH($C15)/3,0))</f>
        <v/>
      </c>
      <c r="K15" s="150" t="inlineStr">
        <is>
          <t>Nov</t>
        </is>
      </c>
      <c r="L15" s="163">
        <f>SUMIFS($D$5:$D$56,$I$5:$I$56,11)</f>
        <v/>
      </c>
      <c r="M15" s="163">
        <f>SUMIFS($E$5:$E$56,$I$5:$I$56,11)</f>
        <v/>
      </c>
      <c r="N15" s="163">
        <f>SUMIFS($F$5:$F$56,$I$5:$I$56,11)</f>
        <v/>
      </c>
      <c r="O15" s="163">
        <f>L15-M15-N15</f>
        <v/>
      </c>
      <c r="P15" s="163">
        <f>IFERROR(LOOKUP(2,1/((YEAR($C$5:$C$56)=2025)*(MONTH($C$5:$C$56)=11)),$H$5:$H$56),0)</f>
        <v/>
      </c>
    </row>
    <row r="16" ht="19.5" customHeight="1" s="58">
      <c r="B16" s="83" t="n">
        <v>12</v>
      </c>
      <c r="C16" s="84" t="n">
        <v>45740</v>
      </c>
      <c r="D16" s="126">
        <f>'4. Fin Planning P&amp;L'!E14-'4. Fin Planning P&amp;L'!I14-'4. Fin Planning P&amp;L'!J14</f>
        <v/>
      </c>
      <c r="E16" s="122">
        <f>IF($C16="","",SUMIFS('2. Ops Planning'!$J$5:$J$200,'2. Ops Planning'!$H$5:$H$200,"&gt;="&amp;$C16,'2. Ops Planning'!$H$5:$H$200,"&lt;"&amp;$C16+7)+SUMIFS('2. Ops Planning'!$M$5:$M$200,'2. Ops Planning'!$K$5:$K$200,"&gt;="&amp;$C16,'2. Ops Planning'!$K$5:$K$200,"&lt;"&amp;$C16+7)+SUMIFS('2. Ops Planning'!$P$5:$P$200,'2. Ops Planning'!$N$5:$N$200,"&gt;="&amp;$C16,'2. Ops Planning'!$N$5:$N$200,"&lt;"&amp;$C16+7))</f>
        <v/>
      </c>
      <c r="F16" s="123">
        <f>IF($B16="","",'1. Product Setup'!$C$20)</f>
        <v/>
      </c>
      <c r="G16" s="124">
        <f>IF($B16="","",D16-E16-F16)</f>
        <v/>
      </c>
      <c r="H16" s="124">
        <f>IF($B16="","",IF($B16=1,'1. Product Setup'!$C$18+G16,H15+G16))</f>
        <v/>
      </c>
      <c r="I16" s="162">
        <f>IF($C16="","",MONTH($C16))</f>
        <v/>
      </c>
      <c r="J16" s="162">
        <f>IF($C16="","",ROUNDUP(MONTH($C16)/3,0))</f>
        <v/>
      </c>
      <c r="K16" s="150" t="inlineStr">
        <is>
          <t>Dec</t>
        </is>
      </c>
      <c r="L16" s="163">
        <f>SUMIFS($D$5:$D$56,$I$5:$I$56,12)</f>
        <v/>
      </c>
      <c r="M16" s="163">
        <f>SUMIFS($E$5:$E$56,$I$5:$I$56,12)</f>
        <v/>
      </c>
      <c r="N16" s="163">
        <f>SUMIFS($F$5:$F$56,$I$5:$I$56,12)</f>
        <v/>
      </c>
      <c r="O16" s="163">
        <f>L16-M16-N16</f>
        <v/>
      </c>
      <c r="P16" s="163">
        <f>IFERROR(LOOKUP(2,1/((YEAR($C$5:$C$56)=2025)*(MONTH($C$5:$C$56)=12)),$H$5:$H$56),0)</f>
        <v/>
      </c>
    </row>
    <row r="17" ht="19.5" customHeight="1" s="58">
      <c r="B17" s="83" t="n">
        <v>13</v>
      </c>
      <c r="C17" s="84" t="n">
        <v>45747</v>
      </c>
      <c r="D17" s="126">
        <f>'4. Fin Planning P&amp;L'!E15-'4. Fin Planning P&amp;L'!I15-'4. Fin Planning P&amp;L'!J15</f>
        <v/>
      </c>
      <c r="E17" s="122">
        <f>IF($C17="","",SUMIFS('2. Ops Planning'!$J$5:$J$200,'2. Ops Planning'!$H$5:$H$200,"&gt;="&amp;$C17,'2. Ops Planning'!$H$5:$H$200,"&lt;"&amp;$C17+7)+SUMIFS('2. Ops Planning'!$M$5:$M$200,'2. Ops Planning'!$K$5:$K$200,"&gt;="&amp;$C17,'2. Ops Planning'!$K$5:$K$200,"&lt;"&amp;$C17+7)+SUMIFS('2. Ops Planning'!$P$5:$P$200,'2. Ops Planning'!$N$5:$N$200,"&gt;="&amp;$C17,'2. Ops Planning'!$N$5:$N$200,"&lt;"&amp;$C17+7))</f>
        <v/>
      </c>
      <c r="F17" s="123">
        <f>IF($B17="","",'1. Product Setup'!$C$20)</f>
        <v/>
      </c>
      <c r="G17" s="124">
        <f>IF($B17="","",D17-E17-F17)</f>
        <v/>
      </c>
      <c r="H17" s="124">
        <f>IF($B17="","",IF($B17=1,'1. Product Setup'!$C$18+G17,H16+G17))</f>
        <v/>
      </c>
      <c r="I17" s="162">
        <f>IF($C17="","",MONTH($C17))</f>
        <v/>
      </c>
      <c r="J17" s="162">
        <f>IF($C17="","",ROUNDUP(MONTH($C17)/3,0))</f>
        <v/>
      </c>
    </row>
    <row r="18" ht="19.5" customHeight="1" s="58">
      <c r="B18" s="83" t="n">
        <v>14</v>
      </c>
      <c r="C18" s="84" t="n">
        <v>45754</v>
      </c>
      <c r="D18" s="126">
        <f>'4. Fin Planning P&amp;L'!E16-'4. Fin Planning P&amp;L'!I16-'4. Fin Planning P&amp;L'!J16</f>
        <v/>
      </c>
      <c r="E18" s="122">
        <f>IF($C18="","",SUMIFS('2. Ops Planning'!$J$5:$J$200,'2. Ops Planning'!$H$5:$H$200,"&gt;="&amp;$C18,'2. Ops Planning'!$H$5:$H$200,"&lt;"&amp;$C18+7)+SUMIFS('2. Ops Planning'!$M$5:$M$200,'2. Ops Planning'!$K$5:$K$200,"&gt;="&amp;$C18,'2. Ops Planning'!$K$5:$K$200,"&lt;"&amp;$C18+7)+SUMIFS('2. Ops Planning'!$P$5:$P$200,'2. Ops Planning'!$N$5:$N$200,"&gt;="&amp;$C18,'2. Ops Planning'!$N$5:$N$200,"&lt;"&amp;$C18+7))</f>
        <v/>
      </c>
      <c r="F18" s="123">
        <f>IF($B18="","",'1. Product Setup'!$C$20)</f>
        <v/>
      </c>
      <c r="G18" s="124">
        <f>IF($B18="","",D18-E18-F18)</f>
        <v/>
      </c>
      <c r="H18" s="124">
        <f>IF($B18="","",IF($B18=1,'1. Product Setup'!$C$18+G18,H17+G18))</f>
        <v/>
      </c>
      <c r="I18" s="162">
        <f>IF($C18="","",MONTH($C18))</f>
        <v/>
      </c>
      <c r="Q18" s="157" t="n"/>
    </row>
    <row r="19" ht="19.5" customHeight="1" s="58">
      <c r="B19" s="83" t="n">
        <v>15</v>
      </c>
      <c r="C19" s="84" t="n">
        <v>45761</v>
      </c>
      <c r="D19" s="126">
        <f>'4. Fin Planning P&amp;L'!E17-'4. Fin Planning P&amp;L'!I17-'4. Fin Planning P&amp;L'!J17</f>
        <v/>
      </c>
      <c r="E19" s="122">
        <f>IF($C19="","",SUMIFS('2. Ops Planning'!$J$5:$J$200,'2. Ops Planning'!$H$5:$H$200,"&gt;="&amp;$C19,'2. Ops Planning'!$H$5:$H$200,"&lt;"&amp;$C19+7)+SUMIFS('2. Ops Planning'!$M$5:$M$200,'2. Ops Planning'!$K$5:$K$200,"&gt;="&amp;$C19,'2. Ops Planning'!$K$5:$K$200,"&lt;"&amp;$C19+7)+SUMIFS('2. Ops Planning'!$P$5:$P$200,'2. Ops Planning'!$N$5:$N$200,"&gt;="&amp;$C19,'2. Ops Planning'!$N$5:$N$200,"&lt;"&amp;$C19+7))</f>
        <v/>
      </c>
      <c r="F19" s="123">
        <f>IF($B19="","",'1. Product Setup'!$C$20)</f>
        <v/>
      </c>
      <c r="G19" s="124">
        <f>IF($B19="","",D19-E19-F19)</f>
        <v/>
      </c>
      <c r="H19" s="124">
        <f>IF($B19="","",IF($B19=1,'1. Product Setup'!$C$18+G19,H18+G19))</f>
        <v/>
      </c>
      <c r="I19" s="162">
        <f>IF($C19="","",MONTH($C19))</f>
        <v/>
      </c>
      <c r="J19" s="162">
        <f>IF($C19="","",ROUNDUP(MONTH($C19)/3,0))</f>
        <v/>
      </c>
      <c r="K19" s="154" t="inlineStr">
        <is>
          <t>Period</t>
        </is>
      </c>
      <c r="L19" s="154" t="inlineStr">
        <is>
          <t>Amazon Payout</t>
        </is>
      </c>
      <c r="M19" s="154" t="inlineStr">
        <is>
          <t>Inventory Purchase</t>
        </is>
      </c>
      <c r="N19" s="154" t="inlineStr">
        <is>
          <t>Fixed Costs</t>
        </is>
      </c>
      <c r="O19" s="154" t="inlineStr">
        <is>
          <t>Net Cash</t>
        </is>
      </c>
      <c r="P19" s="154" t="inlineStr">
        <is>
          <t>Closing Cash</t>
        </is>
      </c>
    </row>
    <row r="20" ht="19.5" customHeight="1" s="58">
      <c r="B20" s="83" t="n">
        <v>16</v>
      </c>
      <c r="C20" s="84" t="n">
        <v>45768</v>
      </c>
      <c r="D20" s="126">
        <f>'4. Fin Planning P&amp;L'!E18-'4. Fin Planning P&amp;L'!I18-'4. Fin Planning P&amp;L'!J18</f>
        <v/>
      </c>
      <c r="E20" s="122">
        <f>IF($C20="","",SUMIFS('2. Ops Planning'!$J$5:$J$200,'2. Ops Planning'!$H$5:$H$200,"&gt;="&amp;$C20,'2. Ops Planning'!$H$5:$H$200,"&lt;"&amp;$C20+7)+SUMIFS('2. Ops Planning'!$M$5:$M$200,'2. Ops Planning'!$K$5:$K$200,"&gt;="&amp;$C20,'2. Ops Planning'!$K$5:$K$200,"&lt;"&amp;$C20+7)+SUMIFS('2. Ops Planning'!$P$5:$P$200,'2. Ops Planning'!$N$5:$N$200,"&gt;="&amp;$C20,'2. Ops Planning'!$N$5:$N$200,"&lt;"&amp;$C20+7))</f>
        <v/>
      </c>
      <c r="F20" s="123">
        <f>IF($B20="","",'1. Product Setup'!$C$20)</f>
        <v/>
      </c>
      <c r="G20" s="124">
        <f>IF($B20="","",D20-E20-F20)</f>
        <v/>
      </c>
      <c r="H20" s="124">
        <f>IF($B20="","",IF($B20=1,'1. Product Setup'!$C$18+G20,H19+G20))</f>
        <v/>
      </c>
      <c r="I20" s="162">
        <f>IF($C20="","",MONTH($C20))</f>
        <v/>
      </c>
      <c r="J20" s="162">
        <f>IF($C20="","",ROUNDUP(MONTH($C20)/3,0))</f>
        <v/>
      </c>
      <c r="K20" s="150" t="inlineStr">
        <is>
          <t>Q1</t>
        </is>
      </c>
      <c r="L20" s="163">
        <f>SUMIFS($D$5:$D$56,$J$5:$J$56,1)</f>
        <v/>
      </c>
      <c r="M20" s="163">
        <f>SUMIFS($E$5:$E$56,$J$5:$J$56,1)</f>
        <v/>
      </c>
      <c r="N20" s="163">
        <f>SUMIFS($F$5:$F$56,$J$5:$J$56,1)</f>
        <v/>
      </c>
      <c r="O20" s="163">
        <f>L20-M20-N20</f>
        <v/>
      </c>
      <c r="P20" s="163">
        <f>IFERROR(LOOKUP(2,1/((YEAR($C$5:$C$56)=2025)*(ROUNDUP(MONTH($C$5:$C$56)/3,0)=1)),$H$5:$H$56),0)</f>
        <v/>
      </c>
    </row>
    <row r="21" ht="19.5" customHeight="1" s="58">
      <c r="B21" s="83" t="n">
        <v>17</v>
      </c>
      <c r="C21" s="84" t="n">
        <v>45775</v>
      </c>
      <c r="D21" s="126">
        <f>'4. Fin Planning P&amp;L'!E19-'4. Fin Planning P&amp;L'!I19-'4. Fin Planning P&amp;L'!J19</f>
        <v/>
      </c>
      <c r="E21" s="122">
        <f>IF($C21="","",SUMIFS('2. Ops Planning'!$J$5:$J$200,'2. Ops Planning'!$H$5:$H$200,"&gt;="&amp;$C21,'2. Ops Planning'!$H$5:$H$200,"&lt;"&amp;$C21+7)+SUMIFS('2. Ops Planning'!$M$5:$M$200,'2. Ops Planning'!$K$5:$K$200,"&gt;="&amp;$C21,'2. Ops Planning'!$K$5:$K$200,"&lt;"&amp;$C21+7)+SUMIFS('2. Ops Planning'!$P$5:$P$200,'2. Ops Planning'!$N$5:$N$200,"&gt;="&amp;$C21,'2. Ops Planning'!$N$5:$N$200,"&lt;"&amp;$C21+7))</f>
        <v/>
      </c>
      <c r="F21" s="123">
        <f>IF($B21="","",'1. Product Setup'!$C$20)</f>
        <v/>
      </c>
      <c r="G21" s="124">
        <f>IF($B21="","",D21-E21-F21)</f>
        <v/>
      </c>
      <c r="H21" s="124">
        <f>IF($B21="","",IF($B21=1,'1. Product Setup'!$C$18+G21,H20+G21))</f>
        <v/>
      </c>
      <c r="I21" s="162">
        <f>IF($C21="","",MONTH($C21))</f>
        <v/>
      </c>
      <c r="J21" s="162">
        <f>IF($C21="","",ROUNDUP(MONTH($C21)/3,0))</f>
        <v/>
      </c>
      <c r="K21" s="150" t="inlineStr">
        <is>
          <t>Q2</t>
        </is>
      </c>
      <c r="L21" s="163">
        <f>SUMIFS($D$5:$D$56,$J$5:$J$56,2)</f>
        <v/>
      </c>
      <c r="M21" s="163">
        <f>SUMIFS($E$5:$E$56,$J$5:$J$56,2)</f>
        <v/>
      </c>
      <c r="N21" s="163">
        <f>SUMIFS($F$5:$F$56,$J$5:$J$56,2)</f>
        <v/>
      </c>
      <c r="O21" s="163">
        <f>L21-M21-N21</f>
        <v/>
      </c>
      <c r="P21" s="163">
        <f>IFERROR(LOOKUP(2,1/((YEAR($C$5:$C$56)=2025)*(ROUNDUP(MONTH($C$5:$C$56)/3,0)=2)),$H$5:$H$56),0)</f>
        <v/>
      </c>
    </row>
    <row r="22" ht="19.5" customHeight="1" s="58">
      <c r="B22" s="83" t="n">
        <v>18</v>
      </c>
      <c r="C22" s="84" t="n">
        <v>45782</v>
      </c>
      <c r="D22" s="126">
        <f>'4. Fin Planning P&amp;L'!E20-'4. Fin Planning P&amp;L'!I20-'4. Fin Planning P&amp;L'!J20</f>
        <v/>
      </c>
      <c r="E22" s="122">
        <f>IF($C22="","",SUMIFS('2. Ops Planning'!$J$5:$J$200,'2. Ops Planning'!$H$5:$H$200,"&gt;="&amp;$C22,'2. Ops Planning'!$H$5:$H$200,"&lt;"&amp;$C22+7)+SUMIFS('2. Ops Planning'!$M$5:$M$200,'2. Ops Planning'!$K$5:$K$200,"&gt;="&amp;$C22,'2. Ops Planning'!$K$5:$K$200,"&lt;"&amp;$C22+7)+SUMIFS('2. Ops Planning'!$P$5:$P$200,'2. Ops Planning'!$N$5:$N$200,"&gt;="&amp;$C22,'2. Ops Planning'!$N$5:$N$200,"&lt;"&amp;$C22+7))</f>
        <v/>
      </c>
      <c r="F22" s="123">
        <f>IF($B22="","",'1. Product Setup'!$C$20)</f>
        <v/>
      </c>
      <c r="G22" s="124">
        <f>IF($B22="","",D22-E22-F22)</f>
        <v/>
      </c>
      <c r="H22" s="124">
        <f>IF($B22="","",IF($B22=1,'1. Product Setup'!$C$18+G22,H21+G22))</f>
        <v/>
      </c>
      <c r="I22" s="162">
        <f>IF($C22="","",MONTH($C22))</f>
        <v/>
      </c>
      <c r="J22" s="162">
        <f>IF($C22="","",ROUNDUP(MONTH($C22)/3,0))</f>
        <v/>
      </c>
      <c r="K22" s="150" t="inlineStr">
        <is>
          <t>Q3</t>
        </is>
      </c>
      <c r="L22" s="163">
        <f>SUMIFS($D$5:$D$56,$J$5:$J$56,3)</f>
        <v/>
      </c>
      <c r="M22" s="163">
        <f>SUMIFS($E$5:$E$56,$J$5:$J$56,3)</f>
        <v/>
      </c>
      <c r="N22" s="163">
        <f>SUMIFS($F$5:$F$56,$J$5:$J$56,3)</f>
        <v/>
      </c>
      <c r="O22" s="163">
        <f>L22-M22-N22</f>
        <v/>
      </c>
      <c r="P22" s="163">
        <f>IFERROR(LOOKUP(2,1/((YEAR($C$5:$C$56)=2025)*(ROUNDUP(MONTH($C$5:$C$56)/3,0)=3)),$H$5:$H$56),0)</f>
        <v/>
      </c>
    </row>
    <row r="23" ht="19.5" customHeight="1" s="58">
      <c r="B23" s="83" t="n">
        <v>19</v>
      </c>
      <c r="C23" s="84" t="n">
        <v>45789</v>
      </c>
      <c r="D23" s="126">
        <f>'4. Fin Planning P&amp;L'!E21-'4. Fin Planning P&amp;L'!I21-'4. Fin Planning P&amp;L'!J21</f>
        <v/>
      </c>
      <c r="E23" s="122">
        <f>IF($C23="","",SUMIFS('2. Ops Planning'!$J$5:$J$200,'2. Ops Planning'!$H$5:$H$200,"&gt;="&amp;$C23,'2. Ops Planning'!$H$5:$H$200,"&lt;"&amp;$C23+7)+SUMIFS('2. Ops Planning'!$M$5:$M$200,'2. Ops Planning'!$K$5:$K$200,"&gt;="&amp;$C23,'2. Ops Planning'!$K$5:$K$200,"&lt;"&amp;$C23+7)+SUMIFS('2. Ops Planning'!$P$5:$P$200,'2. Ops Planning'!$N$5:$N$200,"&gt;="&amp;$C23,'2. Ops Planning'!$N$5:$N$200,"&lt;"&amp;$C23+7))</f>
        <v/>
      </c>
      <c r="F23" s="123">
        <f>IF($B23="","",'1. Product Setup'!$C$20)</f>
        <v/>
      </c>
      <c r="G23" s="124">
        <f>IF($B23="","",D23-E23-F23)</f>
        <v/>
      </c>
      <c r="H23" s="124">
        <f>IF($B23="","",IF($B23=1,'1. Product Setup'!$C$18+G23,H22+G23))</f>
        <v/>
      </c>
      <c r="I23" s="162">
        <f>IF($C23="","",MONTH($C23))</f>
        <v/>
      </c>
      <c r="J23" s="162">
        <f>IF($C23="","",ROUNDUP(MONTH($C23)/3,0))</f>
        <v/>
      </c>
      <c r="K23" s="150" t="inlineStr">
        <is>
          <t>Q4</t>
        </is>
      </c>
      <c r="L23" s="163">
        <f>SUMIFS($D$5:$D$56,$J$5:$J$56,4)</f>
        <v/>
      </c>
      <c r="M23" s="163">
        <f>SUMIFS($E$5:$E$56,$J$5:$J$56,4)</f>
        <v/>
      </c>
      <c r="N23" s="163">
        <f>SUMIFS($F$5:$F$56,$J$5:$J$56,4)</f>
        <v/>
      </c>
      <c r="O23" s="163">
        <f>L23-M23-N23</f>
        <v/>
      </c>
      <c r="P23" s="163">
        <f>IFERROR(LOOKUP(2,1/((YEAR($C$5:$C$56)=2025)*(ROUNDUP(MONTH($C$5:$C$56)/3,0)=4)),$H$5:$H$56),0)</f>
        <v/>
      </c>
    </row>
    <row r="24" ht="19.5" customHeight="1" s="58">
      <c r="B24" s="83" t="n">
        <v>20</v>
      </c>
      <c r="C24" s="84" t="n">
        <v>45796</v>
      </c>
      <c r="D24" s="126">
        <f>'4. Fin Planning P&amp;L'!E22-'4. Fin Planning P&amp;L'!I22-'4. Fin Planning P&amp;L'!J22</f>
        <v/>
      </c>
      <c r="E24" s="122">
        <f>IF($C24="","",SUMIFS('2. Ops Planning'!$J$5:$J$200,'2. Ops Planning'!$H$5:$H$200,"&gt;="&amp;$C24,'2. Ops Planning'!$H$5:$H$200,"&lt;"&amp;$C24+7)+SUMIFS('2. Ops Planning'!$M$5:$M$200,'2. Ops Planning'!$K$5:$K$200,"&gt;="&amp;$C24,'2. Ops Planning'!$K$5:$K$200,"&lt;"&amp;$C24+7)+SUMIFS('2. Ops Planning'!$P$5:$P$200,'2. Ops Planning'!$N$5:$N$200,"&gt;="&amp;$C24,'2. Ops Planning'!$N$5:$N$200,"&lt;"&amp;$C24+7))</f>
        <v/>
      </c>
      <c r="F24" s="123">
        <f>IF($B24="","",'1. Product Setup'!$C$20)</f>
        <v/>
      </c>
      <c r="G24" s="124">
        <f>IF($B24="","",D24-E24-F24)</f>
        <v/>
      </c>
      <c r="H24" s="124">
        <f>IF($B24="","",IF($B24=1,'1. Product Setup'!$C$18+G24,H23+G24))</f>
        <v/>
      </c>
      <c r="I24" s="162">
        <f>IF($C24="","",MONTH($C24))</f>
        <v/>
      </c>
      <c r="J24" s="162">
        <f>IF($C24="","",ROUNDUP(MONTH($C24)/3,0))</f>
        <v/>
      </c>
    </row>
    <row r="25" ht="19.5" customHeight="1" s="58">
      <c r="B25" s="83" t="n">
        <v>21</v>
      </c>
      <c r="C25" s="84" t="n">
        <v>45803</v>
      </c>
      <c r="D25" s="126">
        <f>'4. Fin Planning P&amp;L'!E23-'4. Fin Planning P&amp;L'!I23-'4. Fin Planning P&amp;L'!J23</f>
        <v/>
      </c>
      <c r="E25" s="122">
        <f>IF($C25="","",SUMIFS('2. Ops Planning'!$J$5:$J$200,'2. Ops Planning'!$H$5:$H$200,"&gt;="&amp;$C25,'2. Ops Planning'!$H$5:$H$200,"&lt;"&amp;$C25+7)+SUMIFS('2. Ops Planning'!$M$5:$M$200,'2. Ops Planning'!$K$5:$K$200,"&gt;="&amp;$C25,'2. Ops Planning'!$K$5:$K$200,"&lt;"&amp;$C25+7)+SUMIFS('2. Ops Planning'!$P$5:$P$200,'2. Ops Planning'!$N$5:$N$200,"&gt;="&amp;$C25,'2. Ops Planning'!$N$5:$N$200,"&lt;"&amp;$C25+7))</f>
        <v/>
      </c>
      <c r="F25" s="123">
        <f>IF($B25="","",'1. Product Setup'!$C$20)</f>
        <v/>
      </c>
      <c r="G25" s="124">
        <f>IF($B25="","",D25-E25-F25)</f>
        <v/>
      </c>
      <c r="H25" s="124">
        <f>IF($B25="","",IF($B25=1,'1. Product Setup'!$C$18+G25,H24+G25))</f>
        <v/>
      </c>
      <c r="I25" s="162">
        <f>IF($C25="","",MONTH($C25))</f>
        <v/>
      </c>
      <c r="J25" s="162">
        <f>IF($C25="","",ROUNDUP(MONTH($C25)/3,0))</f>
        <v/>
      </c>
    </row>
    <row r="26" ht="19.5" customHeight="1" s="58">
      <c r="B26" s="83" t="n">
        <v>22</v>
      </c>
      <c r="C26" s="84" t="n">
        <v>45810</v>
      </c>
      <c r="D26" s="126">
        <f>'4. Fin Planning P&amp;L'!E24-'4. Fin Planning P&amp;L'!I24-'4. Fin Planning P&amp;L'!J24</f>
        <v/>
      </c>
      <c r="E26" s="122">
        <f>IF($C26="","",SUMIFS('2. Ops Planning'!$J$5:$J$200,'2. Ops Planning'!$H$5:$H$200,"&gt;="&amp;$C26,'2. Ops Planning'!$H$5:$H$200,"&lt;"&amp;$C26+7)+SUMIFS('2. Ops Planning'!$M$5:$M$200,'2. Ops Planning'!$K$5:$K$200,"&gt;="&amp;$C26,'2. Ops Planning'!$K$5:$K$200,"&lt;"&amp;$C26+7)+SUMIFS('2. Ops Planning'!$P$5:$P$200,'2. Ops Planning'!$N$5:$N$200,"&gt;="&amp;$C26,'2. Ops Planning'!$N$5:$N$200,"&lt;"&amp;$C26+7))</f>
        <v/>
      </c>
      <c r="F26" s="123">
        <f>IF($B26="","",'1. Product Setup'!$C$20)</f>
        <v/>
      </c>
      <c r="G26" s="124">
        <f>IF($B26="","",D26-E26-F26)</f>
        <v/>
      </c>
      <c r="H26" s="124">
        <f>IF($B26="","",IF($B26=1,'1. Product Setup'!$C$18+G26,H25+G26))</f>
        <v/>
      </c>
      <c r="I26" s="162">
        <f>IF($C26="","",MONTH($C26))</f>
        <v/>
      </c>
      <c r="J26" s="162">
        <f>IF($C26="","",ROUNDUP(MONTH($C26)/3,0))</f>
        <v/>
      </c>
    </row>
    <row r="27" ht="19.5" customHeight="1" s="58">
      <c r="B27" s="83" t="n">
        <v>23</v>
      </c>
      <c r="C27" s="84" t="n">
        <v>45817</v>
      </c>
      <c r="D27" s="126">
        <f>'4. Fin Planning P&amp;L'!E25-'4. Fin Planning P&amp;L'!I25-'4. Fin Planning P&amp;L'!J25</f>
        <v/>
      </c>
      <c r="E27" s="122">
        <f>IF($C27="","",SUMIFS('2. Ops Planning'!$J$5:$J$200,'2. Ops Planning'!$H$5:$H$200,"&gt;="&amp;$C27,'2. Ops Planning'!$H$5:$H$200,"&lt;"&amp;$C27+7)+SUMIFS('2. Ops Planning'!$M$5:$M$200,'2. Ops Planning'!$K$5:$K$200,"&gt;="&amp;$C27,'2. Ops Planning'!$K$5:$K$200,"&lt;"&amp;$C27+7)+SUMIFS('2. Ops Planning'!$P$5:$P$200,'2. Ops Planning'!$N$5:$N$200,"&gt;="&amp;$C27,'2. Ops Planning'!$N$5:$N$200,"&lt;"&amp;$C27+7))</f>
        <v/>
      </c>
      <c r="F27" s="123">
        <f>IF($B27="","",'1. Product Setup'!$C$20)</f>
        <v/>
      </c>
      <c r="G27" s="124">
        <f>IF($B27="","",D27-E27-F27)</f>
        <v/>
      </c>
      <c r="H27" s="124">
        <f>IF($B27="","",IF($B27=1,'1. Product Setup'!$C$18+G27,H26+G27))</f>
        <v/>
      </c>
      <c r="I27" s="162">
        <f>IF($C27="","",MONTH($C27))</f>
        <v/>
      </c>
      <c r="J27" s="162">
        <f>IF($C27="","",ROUNDUP(MONTH($C27)/3,0))</f>
        <v/>
      </c>
    </row>
    <row r="28" ht="19.5" customHeight="1" s="58">
      <c r="B28" s="83" t="n">
        <v>24</v>
      </c>
      <c r="C28" s="84" t="n">
        <v>45824</v>
      </c>
      <c r="D28" s="126">
        <f>'4. Fin Planning P&amp;L'!E26-'4. Fin Planning P&amp;L'!I26-'4. Fin Planning P&amp;L'!J26</f>
        <v/>
      </c>
      <c r="E28" s="122">
        <f>IF($C28="","",SUMIFS('2. Ops Planning'!$J$5:$J$200,'2. Ops Planning'!$H$5:$H$200,"&gt;="&amp;$C28,'2. Ops Planning'!$H$5:$H$200,"&lt;"&amp;$C28+7)+SUMIFS('2. Ops Planning'!$M$5:$M$200,'2. Ops Planning'!$K$5:$K$200,"&gt;="&amp;$C28,'2. Ops Planning'!$K$5:$K$200,"&lt;"&amp;$C28+7)+SUMIFS('2. Ops Planning'!$P$5:$P$200,'2. Ops Planning'!$N$5:$N$200,"&gt;="&amp;$C28,'2. Ops Planning'!$N$5:$N$200,"&lt;"&amp;$C28+7))</f>
        <v/>
      </c>
      <c r="F28" s="123">
        <f>IF($B28="","",'1. Product Setup'!$C$20)</f>
        <v/>
      </c>
      <c r="G28" s="124">
        <f>IF($B28="","",D28-E28-F28)</f>
        <v/>
      </c>
      <c r="H28" s="124">
        <f>IF($B28="","",IF($B28=1,'1. Product Setup'!$C$18+G28,H27+G28))</f>
        <v/>
      </c>
      <c r="I28" s="162">
        <f>IF($C28="","",MONTH($C28))</f>
        <v/>
      </c>
      <c r="J28" s="162">
        <f>IF($C28="","",ROUNDUP(MONTH($C28)/3,0))</f>
        <v/>
      </c>
    </row>
    <row r="29" ht="19.5" customHeight="1" s="58">
      <c r="B29" s="83" t="n">
        <v>25</v>
      </c>
      <c r="C29" s="84" t="n">
        <v>45831</v>
      </c>
      <c r="D29" s="126">
        <f>'4. Fin Planning P&amp;L'!E27-'4. Fin Planning P&amp;L'!I27-'4. Fin Planning P&amp;L'!J27</f>
        <v/>
      </c>
      <c r="E29" s="122">
        <f>IF($C29="","",SUMIFS('2. Ops Planning'!$J$5:$J$200,'2. Ops Planning'!$H$5:$H$200,"&gt;="&amp;$C29,'2. Ops Planning'!$H$5:$H$200,"&lt;"&amp;$C29+7)+SUMIFS('2. Ops Planning'!$M$5:$M$200,'2. Ops Planning'!$K$5:$K$200,"&gt;="&amp;$C29,'2. Ops Planning'!$K$5:$K$200,"&lt;"&amp;$C29+7)+SUMIFS('2. Ops Planning'!$P$5:$P$200,'2. Ops Planning'!$N$5:$N$200,"&gt;="&amp;$C29,'2. Ops Planning'!$N$5:$N$200,"&lt;"&amp;$C29+7))</f>
        <v/>
      </c>
      <c r="F29" s="123">
        <f>IF($B29="","",'1. Product Setup'!$C$20)</f>
        <v/>
      </c>
      <c r="G29" s="124">
        <f>IF($B29="","",D29-E29-F29)</f>
        <v/>
      </c>
      <c r="H29" s="124">
        <f>IF($B29="","",IF($B29=1,'1. Product Setup'!$C$18+G29,H28+G29))</f>
        <v/>
      </c>
      <c r="I29" s="162">
        <f>IF($C29="","",MONTH($C29))</f>
        <v/>
      </c>
      <c r="J29" s="162">
        <f>IF($C29="","",ROUNDUP(MONTH($C29)/3,0))</f>
        <v/>
      </c>
    </row>
    <row r="30" ht="19.5" customHeight="1" s="58">
      <c r="B30" s="83" t="n">
        <v>26</v>
      </c>
      <c r="C30" s="84" t="n">
        <v>45838</v>
      </c>
      <c r="D30" s="126">
        <f>'4. Fin Planning P&amp;L'!E28-'4. Fin Planning P&amp;L'!I28-'4. Fin Planning P&amp;L'!J28</f>
        <v/>
      </c>
      <c r="E30" s="122">
        <f>IF($C30="","",SUMIFS('2. Ops Planning'!$J$5:$J$200,'2. Ops Planning'!$H$5:$H$200,"&gt;="&amp;$C30,'2. Ops Planning'!$H$5:$H$200,"&lt;"&amp;$C30+7)+SUMIFS('2. Ops Planning'!$M$5:$M$200,'2. Ops Planning'!$K$5:$K$200,"&gt;="&amp;$C30,'2. Ops Planning'!$K$5:$K$200,"&lt;"&amp;$C30+7)+SUMIFS('2. Ops Planning'!$P$5:$P$200,'2. Ops Planning'!$N$5:$N$200,"&gt;="&amp;$C30,'2. Ops Planning'!$N$5:$N$200,"&lt;"&amp;$C30+7))</f>
        <v/>
      </c>
      <c r="F30" s="123">
        <f>IF($B30="","",'1. Product Setup'!$C$20)</f>
        <v/>
      </c>
      <c r="G30" s="124">
        <f>IF($B30="","",D30-E30-F30)</f>
        <v/>
      </c>
      <c r="H30" s="124">
        <f>IF($B30="","",IF($B30=1,'1. Product Setup'!$C$18+G30,H29+G30))</f>
        <v/>
      </c>
      <c r="I30" s="162">
        <f>IF($C30="","",MONTH($C30))</f>
        <v/>
      </c>
      <c r="J30" s="162">
        <f>IF($C30="","",ROUNDUP(MONTH($C30)/3,0))</f>
        <v/>
      </c>
    </row>
    <row r="31" ht="19.5" customHeight="1" s="58">
      <c r="B31" s="83" t="n">
        <v>27</v>
      </c>
      <c r="C31" s="84" t="n">
        <v>45845</v>
      </c>
      <c r="D31" s="126">
        <f>'4. Fin Planning P&amp;L'!E29-'4. Fin Planning P&amp;L'!I29-'4. Fin Planning P&amp;L'!J29</f>
        <v/>
      </c>
      <c r="E31" s="122">
        <f>IF($C31="","",SUMIFS('2. Ops Planning'!$J$5:$J$200,'2. Ops Planning'!$H$5:$H$200,"&gt;="&amp;$C31,'2. Ops Planning'!$H$5:$H$200,"&lt;"&amp;$C31+7)+SUMIFS('2. Ops Planning'!$M$5:$M$200,'2. Ops Planning'!$K$5:$K$200,"&gt;="&amp;$C31,'2. Ops Planning'!$K$5:$K$200,"&lt;"&amp;$C31+7)+SUMIFS('2. Ops Planning'!$P$5:$P$200,'2. Ops Planning'!$N$5:$N$200,"&gt;="&amp;$C31,'2. Ops Planning'!$N$5:$N$200,"&lt;"&amp;$C31+7))</f>
        <v/>
      </c>
      <c r="F31" s="123">
        <f>IF($B31="","",'1. Product Setup'!$C$20)</f>
        <v/>
      </c>
      <c r="G31" s="124">
        <f>IF($B31="","",D31-E31-F31)</f>
        <v/>
      </c>
      <c r="H31" s="124">
        <f>IF($B31="","",IF($B31=1,'1. Product Setup'!$C$18+G31,H30+G31))</f>
        <v/>
      </c>
      <c r="I31" s="162">
        <f>IF($C31="","",MONTH($C31))</f>
        <v/>
      </c>
      <c r="J31" s="162">
        <f>IF($C31="","",ROUNDUP(MONTH($C31)/3,0))</f>
        <v/>
      </c>
    </row>
    <row r="32" ht="19.5" customHeight="1" s="58">
      <c r="B32" s="83" t="n">
        <v>28</v>
      </c>
      <c r="C32" s="84" t="n">
        <v>45852</v>
      </c>
      <c r="D32" s="126">
        <f>'4. Fin Planning P&amp;L'!E30-'4. Fin Planning P&amp;L'!I30-'4. Fin Planning P&amp;L'!J30</f>
        <v/>
      </c>
      <c r="E32" s="122">
        <f>IF($C32="","",SUMIFS('2. Ops Planning'!$J$5:$J$200,'2. Ops Planning'!$H$5:$H$200,"&gt;="&amp;$C32,'2. Ops Planning'!$H$5:$H$200,"&lt;"&amp;$C32+7)+SUMIFS('2. Ops Planning'!$M$5:$M$200,'2. Ops Planning'!$K$5:$K$200,"&gt;="&amp;$C32,'2. Ops Planning'!$K$5:$K$200,"&lt;"&amp;$C32+7)+SUMIFS('2. Ops Planning'!$P$5:$P$200,'2. Ops Planning'!$N$5:$N$200,"&gt;="&amp;$C32,'2. Ops Planning'!$N$5:$N$200,"&lt;"&amp;$C32+7))</f>
        <v/>
      </c>
      <c r="F32" s="123">
        <f>IF($B32="","",'1. Product Setup'!$C$20)</f>
        <v/>
      </c>
      <c r="G32" s="124">
        <f>IF($B32="","",D32-E32-F32)</f>
        <v/>
      </c>
      <c r="H32" s="124">
        <f>IF($B32="","",IF($B32=1,'1. Product Setup'!$C$18+G32,H31+G32))</f>
        <v/>
      </c>
      <c r="I32" s="162">
        <f>IF($C32="","",MONTH($C32))</f>
        <v/>
      </c>
      <c r="J32" s="162">
        <f>IF($C32="","",ROUNDUP(MONTH($C32)/3,0))</f>
        <v/>
      </c>
    </row>
    <row r="33" ht="19.5" customHeight="1" s="58">
      <c r="B33" s="83" t="n">
        <v>29</v>
      </c>
      <c r="C33" s="84" t="n">
        <v>45859</v>
      </c>
      <c r="D33" s="126">
        <f>'4. Fin Planning P&amp;L'!E31-'4. Fin Planning P&amp;L'!I31-'4. Fin Planning P&amp;L'!J31</f>
        <v/>
      </c>
      <c r="E33" s="122">
        <f>IF($C33="","",SUMIFS('2. Ops Planning'!$J$5:$J$200,'2. Ops Planning'!$H$5:$H$200,"&gt;="&amp;$C33,'2. Ops Planning'!$H$5:$H$200,"&lt;"&amp;$C33+7)+SUMIFS('2. Ops Planning'!$M$5:$M$200,'2. Ops Planning'!$K$5:$K$200,"&gt;="&amp;$C33,'2. Ops Planning'!$K$5:$K$200,"&lt;"&amp;$C33+7)+SUMIFS('2. Ops Planning'!$P$5:$P$200,'2. Ops Planning'!$N$5:$N$200,"&gt;="&amp;$C33,'2. Ops Planning'!$N$5:$N$200,"&lt;"&amp;$C33+7))</f>
        <v/>
      </c>
      <c r="F33" s="123">
        <f>IF($B33="","",'1. Product Setup'!$C$20)</f>
        <v/>
      </c>
      <c r="G33" s="124">
        <f>IF($B33="","",D33-E33-F33)</f>
        <v/>
      </c>
      <c r="H33" s="124">
        <f>IF($B33="","",IF($B33=1,'1. Product Setup'!$C$18+G33,H32+G33))</f>
        <v/>
      </c>
      <c r="I33" s="162">
        <f>IF($C33="","",MONTH($C33))</f>
        <v/>
      </c>
      <c r="J33" s="162">
        <f>IF($C33="","",ROUNDUP(MONTH($C33)/3,0))</f>
        <v/>
      </c>
    </row>
    <row r="34" ht="19.5" customHeight="1" s="58">
      <c r="B34" s="83" t="n">
        <v>30</v>
      </c>
      <c r="C34" s="84" t="n">
        <v>45866</v>
      </c>
      <c r="D34" s="126">
        <f>'4. Fin Planning P&amp;L'!E32-'4. Fin Planning P&amp;L'!I32-'4. Fin Planning P&amp;L'!J32</f>
        <v/>
      </c>
      <c r="E34" s="122">
        <f>IF($C34="","",SUMIFS('2. Ops Planning'!$J$5:$J$200,'2. Ops Planning'!$H$5:$H$200,"&gt;="&amp;$C34,'2. Ops Planning'!$H$5:$H$200,"&lt;"&amp;$C34+7)+SUMIFS('2. Ops Planning'!$M$5:$M$200,'2. Ops Planning'!$K$5:$K$200,"&gt;="&amp;$C34,'2. Ops Planning'!$K$5:$K$200,"&lt;"&amp;$C34+7)+SUMIFS('2. Ops Planning'!$P$5:$P$200,'2. Ops Planning'!$N$5:$N$200,"&gt;="&amp;$C34,'2. Ops Planning'!$N$5:$N$200,"&lt;"&amp;$C34+7))</f>
        <v/>
      </c>
      <c r="F34" s="123">
        <f>IF($B34="","",'1. Product Setup'!$C$20)</f>
        <v/>
      </c>
      <c r="G34" s="124">
        <f>IF($B34="","",D34-E34-F34)</f>
        <v/>
      </c>
      <c r="H34" s="124">
        <f>IF($B34="","",IF($B34=1,'1. Product Setup'!$C$18+G34,H33+G34))</f>
        <v/>
      </c>
      <c r="I34" s="162">
        <f>IF($C34="","",MONTH($C34))</f>
        <v/>
      </c>
      <c r="J34" s="162">
        <f>IF($C34="","",ROUNDUP(MONTH($C34)/3,0))</f>
        <v/>
      </c>
    </row>
    <row r="35" ht="19.5" customHeight="1" s="58">
      <c r="B35" s="83" t="n">
        <v>31</v>
      </c>
      <c r="C35" s="84" t="n">
        <v>45873</v>
      </c>
      <c r="D35" s="126">
        <f>'4. Fin Planning P&amp;L'!E33-'4. Fin Planning P&amp;L'!I33-'4. Fin Planning P&amp;L'!J33</f>
        <v/>
      </c>
      <c r="E35" s="122">
        <f>IF($C35="","",SUMIFS('2. Ops Planning'!$J$5:$J$200,'2. Ops Planning'!$H$5:$H$200,"&gt;="&amp;$C35,'2. Ops Planning'!$H$5:$H$200,"&lt;"&amp;$C35+7)+SUMIFS('2. Ops Planning'!$M$5:$M$200,'2. Ops Planning'!$K$5:$K$200,"&gt;="&amp;$C35,'2. Ops Planning'!$K$5:$K$200,"&lt;"&amp;$C35+7)+SUMIFS('2. Ops Planning'!$P$5:$P$200,'2. Ops Planning'!$N$5:$N$200,"&gt;="&amp;$C35,'2. Ops Planning'!$N$5:$N$200,"&lt;"&amp;$C35+7))</f>
        <v/>
      </c>
      <c r="F35" s="123">
        <f>IF($B35="","",'1. Product Setup'!$C$20)</f>
        <v/>
      </c>
      <c r="G35" s="124">
        <f>IF($B35="","",D35-E35-F35)</f>
        <v/>
      </c>
      <c r="H35" s="124">
        <f>IF($B35="","",IF($B35=1,'1. Product Setup'!$C$18+G35,H34+G35))</f>
        <v/>
      </c>
      <c r="I35" s="162">
        <f>IF($C35="","",MONTH($C35))</f>
        <v/>
      </c>
      <c r="J35" s="162">
        <f>IF($C35="","",ROUNDUP(MONTH($C35)/3,0))</f>
        <v/>
      </c>
    </row>
    <row r="36" ht="19.5" customHeight="1" s="58">
      <c r="B36" s="83" t="n">
        <v>32</v>
      </c>
      <c r="C36" s="84" t="n">
        <v>45880</v>
      </c>
      <c r="D36" s="126">
        <f>'4. Fin Planning P&amp;L'!E34-'4. Fin Planning P&amp;L'!I34-'4. Fin Planning P&amp;L'!J34</f>
        <v/>
      </c>
      <c r="E36" s="122">
        <f>IF($C36="","",SUMIFS('2. Ops Planning'!$J$5:$J$200,'2. Ops Planning'!$H$5:$H$200,"&gt;="&amp;$C36,'2. Ops Planning'!$H$5:$H$200,"&lt;"&amp;$C36+7)+SUMIFS('2. Ops Planning'!$M$5:$M$200,'2. Ops Planning'!$K$5:$K$200,"&gt;="&amp;$C36,'2. Ops Planning'!$K$5:$K$200,"&lt;"&amp;$C36+7)+SUMIFS('2. Ops Planning'!$P$5:$P$200,'2. Ops Planning'!$N$5:$N$200,"&gt;="&amp;$C36,'2. Ops Planning'!$N$5:$N$200,"&lt;"&amp;$C36+7))</f>
        <v/>
      </c>
      <c r="F36" s="123">
        <f>IF($B36="","",'1. Product Setup'!$C$20)</f>
        <v/>
      </c>
      <c r="G36" s="124">
        <f>IF($B36="","",D36-E36-F36)</f>
        <v/>
      </c>
      <c r="H36" s="124">
        <f>IF($B36="","",IF($B36=1,'1. Product Setup'!$C$18+G36,H35+G36))</f>
        <v/>
      </c>
      <c r="I36" s="162">
        <f>IF($C36="","",MONTH($C36))</f>
        <v/>
      </c>
      <c r="J36" s="162">
        <f>IF($C36="","",ROUNDUP(MONTH($C36)/3,0))</f>
        <v/>
      </c>
    </row>
    <row r="37" ht="19.5" customHeight="1" s="58">
      <c r="B37" s="83" t="n">
        <v>33</v>
      </c>
      <c r="C37" s="84" t="n">
        <v>45887</v>
      </c>
      <c r="D37" s="126">
        <f>'4. Fin Planning P&amp;L'!E35-'4. Fin Planning P&amp;L'!I35-'4. Fin Planning P&amp;L'!J35</f>
        <v/>
      </c>
      <c r="E37" s="122">
        <f>IF($C37="","",SUMIFS('2. Ops Planning'!$J$5:$J$200,'2. Ops Planning'!$H$5:$H$200,"&gt;="&amp;$C37,'2. Ops Planning'!$H$5:$H$200,"&lt;"&amp;$C37+7)+SUMIFS('2. Ops Planning'!$M$5:$M$200,'2. Ops Planning'!$K$5:$K$200,"&gt;="&amp;$C37,'2. Ops Planning'!$K$5:$K$200,"&lt;"&amp;$C37+7)+SUMIFS('2. Ops Planning'!$P$5:$P$200,'2. Ops Planning'!$N$5:$N$200,"&gt;="&amp;$C37,'2. Ops Planning'!$N$5:$N$200,"&lt;"&amp;$C37+7))</f>
        <v/>
      </c>
      <c r="F37" s="123">
        <f>IF($B37="","",'1. Product Setup'!$C$20)</f>
        <v/>
      </c>
      <c r="G37" s="124">
        <f>IF($B37="","",D37-E37-F37)</f>
        <v/>
      </c>
      <c r="H37" s="124">
        <f>IF($B37="","",IF($B37=1,'1. Product Setup'!$C$18+G37,H36+G37))</f>
        <v/>
      </c>
      <c r="I37" s="162">
        <f>IF($C37="","",MONTH($C37))</f>
        <v/>
      </c>
      <c r="J37" s="162">
        <f>IF($C37="","",ROUNDUP(MONTH($C37)/3,0))</f>
        <v/>
      </c>
    </row>
    <row r="38" ht="19.5" customHeight="1" s="58">
      <c r="B38" s="83" t="n">
        <v>34</v>
      </c>
      <c r="C38" s="84" t="n">
        <v>45894</v>
      </c>
      <c r="D38" s="126">
        <f>'4. Fin Planning P&amp;L'!E36-'4. Fin Planning P&amp;L'!I36-'4. Fin Planning P&amp;L'!J36</f>
        <v/>
      </c>
      <c r="E38" s="122">
        <f>IF($C38="","",SUMIFS('2. Ops Planning'!$J$5:$J$200,'2. Ops Planning'!$H$5:$H$200,"&gt;="&amp;$C38,'2. Ops Planning'!$H$5:$H$200,"&lt;"&amp;$C38+7)+SUMIFS('2. Ops Planning'!$M$5:$M$200,'2. Ops Planning'!$K$5:$K$200,"&gt;="&amp;$C38,'2. Ops Planning'!$K$5:$K$200,"&lt;"&amp;$C38+7)+SUMIFS('2. Ops Planning'!$P$5:$P$200,'2. Ops Planning'!$N$5:$N$200,"&gt;="&amp;$C38,'2. Ops Planning'!$N$5:$N$200,"&lt;"&amp;$C38+7))</f>
        <v/>
      </c>
      <c r="F38" s="123">
        <f>IF($B38="","",'1. Product Setup'!$C$20)</f>
        <v/>
      </c>
      <c r="G38" s="124">
        <f>IF($B38="","",D38-E38-F38)</f>
        <v/>
      </c>
      <c r="H38" s="124">
        <f>IF($B38="","",IF($B38=1,'1. Product Setup'!$C$18+G38,H37+G38))</f>
        <v/>
      </c>
      <c r="I38" s="162">
        <f>IF($C38="","",MONTH($C38))</f>
        <v/>
      </c>
      <c r="J38" s="162">
        <f>IF($C38="","",ROUNDUP(MONTH($C38)/3,0))</f>
        <v/>
      </c>
    </row>
    <row r="39" ht="19.5" customHeight="1" s="58">
      <c r="B39" s="83" t="n">
        <v>35</v>
      </c>
      <c r="C39" s="84" t="n">
        <v>45901</v>
      </c>
      <c r="D39" s="126">
        <f>'4. Fin Planning P&amp;L'!E37-'4. Fin Planning P&amp;L'!I37-'4. Fin Planning P&amp;L'!J37</f>
        <v/>
      </c>
      <c r="E39" s="122">
        <f>IF($C39="","",SUMIFS('2. Ops Planning'!$J$5:$J$200,'2. Ops Planning'!$H$5:$H$200,"&gt;="&amp;$C39,'2. Ops Planning'!$H$5:$H$200,"&lt;"&amp;$C39+7)+SUMIFS('2. Ops Planning'!$M$5:$M$200,'2. Ops Planning'!$K$5:$K$200,"&gt;="&amp;$C39,'2. Ops Planning'!$K$5:$K$200,"&lt;"&amp;$C39+7)+SUMIFS('2. Ops Planning'!$P$5:$P$200,'2. Ops Planning'!$N$5:$N$200,"&gt;="&amp;$C39,'2. Ops Planning'!$N$5:$N$200,"&lt;"&amp;$C39+7))</f>
        <v/>
      </c>
      <c r="F39" s="123">
        <f>IF($B39="","",'1. Product Setup'!$C$20)</f>
        <v/>
      </c>
      <c r="G39" s="124">
        <f>IF($B39="","",D39-E39-F39)</f>
        <v/>
      </c>
      <c r="H39" s="124">
        <f>IF($B39="","",IF($B39=1,'1. Product Setup'!$C$18+G39,H38+G39))</f>
        <v/>
      </c>
      <c r="I39" s="162">
        <f>IF($C39="","",MONTH($C39))</f>
        <v/>
      </c>
      <c r="J39" s="162">
        <f>IF($C39="","",ROUNDUP(MONTH($C39)/3,0))</f>
        <v/>
      </c>
    </row>
    <row r="40" ht="19.5" customHeight="1" s="58">
      <c r="B40" s="83" t="n">
        <v>36</v>
      </c>
      <c r="C40" s="84" t="n">
        <v>45908</v>
      </c>
      <c r="D40" s="126">
        <f>'4. Fin Planning P&amp;L'!E38-'4. Fin Planning P&amp;L'!I38-'4. Fin Planning P&amp;L'!J38</f>
        <v/>
      </c>
      <c r="E40" s="122">
        <f>IF($C40="","",SUMIFS('2. Ops Planning'!$J$5:$J$200,'2. Ops Planning'!$H$5:$H$200,"&gt;="&amp;$C40,'2. Ops Planning'!$H$5:$H$200,"&lt;"&amp;$C40+7)+SUMIFS('2. Ops Planning'!$M$5:$M$200,'2. Ops Planning'!$K$5:$K$200,"&gt;="&amp;$C40,'2. Ops Planning'!$K$5:$K$200,"&lt;"&amp;$C40+7)+SUMIFS('2. Ops Planning'!$P$5:$P$200,'2. Ops Planning'!$N$5:$N$200,"&gt;="&amp;$C40,'2. Ops Planning'!$N$5:$N$200,"&lt;"&amp;$C40+7))</f>
        <v/>
      </c>
      <c r="F40" s="123">
        <f>IF($B40="","",'1. Product Setup'!$C$20)</f>
        <v/>
      </c>
      <c r="G40" s="124">
        <f>IF($B40="","",D40-E40-F40)</f>
        <v/>
      </c>
      <c r="H40" s="124">
        <f>IF($B40="","",IF($B40=1,'1. Product Setup'!$C$18+G40,H39+G40))</f>
        <v/>
      </c>
      <c r="I40" s="162">
        <f>IF($C40="","",MONTH($C40))</f>
        <v/>
      </c>
      <c r="J40" s="162">
        <f>IF($C40="","",ROUNDUP(MONTH($C40)/3,0))</f>
        <v/>
      </c>
    </row>
    <row r="41" ht="19.5" customHeight="1" s="58">
      <c r="B41" s="89" t="n">
        <v>37</v>
      </c>
      <c r="C41" s="90" t="n">
        <v>45915</v>
      </c>
      <c r="D41" s="126">
        <f>'4. Fin Planning P&amp;L'!E39-'4. Fin Planning P&amp;L'!I39-'4. Fin Planning P&amp;L'!J39</f>
        <v/>
      </c>
      <c r="E41" s="125">
        <f>IF($C41="","",SUMIFS('2. Ops Planning'!$J$5:$J$200,'2. Ops Planning'!$H$5:$H$200,"&gt;="&amp;$C41,'2. Ops Planning'!$H$5:$H$200,"&lt;"&amp;$C41+7)+SUMIFS('2. Ops Planning'!$M$5:$M$200,'2. Ops Planning'!$K$5:$K$200,"&gt;="&amp;$C41,'2. Ops Planning'!$K$5:$K$200,"&lt;"&amp;$C41+7)+SUMIFS('2. Ops Planning'!$P$5:$P$200,'2. Ops Planning'!$N$5:$N$200,"&gt;="&amp;$C41,'2. Ops Planning'!$N$5:$N$200,"&lt;"&amp;$C41+7))</f>
        <v/>
      </c>
      <c r="F41" s="126">
        <f>IF($B41="","",'1. Product Setup'!$C$20)</f>
        <v/>
      </c>
      <c r="G41" s="127">
        <f>IF($B41="","",D41-E41-F41)</f>
        <v/>
      </c>
      <c r="H41" s="127">
        <f>IF($B41="","",IF($B41=1,'1. Product Setup'!$C$18+G41,H40+G41))</f>
        <v/>
      </c>
      <c r="I41" s="162">
        <f>IF($C41="","",MONTH($C41))</f>
        <v/>
      </c>
      <c r="J41" s="162">
        <f>IF($C41="","",ROUNDUP(MONTH($C41)/3,0))</f>
        <v/>
      </c>
    </row>
    <row r="42" ht="19.5" customHeight="1" s="58">
      <c r="B42" s="83" t="n">
        <v>38</v>
      </c>
      <c r="C42" s="84" t="n">
        <v>45922</v>
      </c>
      <c r="D42" s="126">
        <f>'4. Fin Planning P&amp;L'!E40-'4. Fin Planning P&amp;L'!I40-'4. Fin Planning P&amp;L'!J40</f>
        <v/>
      </c>
      <c r="E42" s="122">
        <f>IF($C42="","",SUMIFS('2. Ops Planning'!$J$5:$J$200,'2. Ops Planning'!$H$5:$H$200,"&gt;="&amp;$C42,'2. Ops Planning'!$H$5:$H$200,"&lt;"&amp;$C42+7)+SUMIFS('2. Ops Planning'!$M$5:$M$200,'2. Ops Planning'!$K$5:$K$200,"&gt;="&amp;$C42,'2. Ops Planning'!$K$5:$K$200,"&lt;"&amp;$C42+7)+SUMIFS('2. Ops Planning'!$P$5:$P$200,'2. Ops Planning'!$N$5:$N$200,"&gt;="&amp;$C42,'2. Ops Planning'!$N$5:$N$200,"&lt;"&amp;$C42+7))</f>
        <v/>
      </c>
      <c r="F42" s="123">
        <f>IF($B42="","",'1. Product Setup'!$C$20)</f>
        <v/>
      </c>
      <c r="G42" s="124">
        <f>IF($B42="","",D42-E42-F42)</f>
        <v/>
      </c>
      <c r="H42" s="124">
        <f>IF($B42="","",IF($B42=1,'1. Product Setup'!$C$18+G42,H41+G42))</f>
        <v/>
      </c>
      <c r="I42" s="162">
        <f>IF($C42="","",MONTH($C42))</f>
        <v/>
      </c>
      <c r="J42" s="162">
        <f>IF($C42="","",ROUNDUP(MONTH($C42)/3,0))</f>
        <v/>
      </c>
    </row>
    <row r="43" ht="19.5" customHeight="1" s="58">
      <c r="B43" s="83" t="n">
        <v>39</v>
      </c>
      <c r="C43" s="84" t="n">
        <v>45929</v>
      </c>
      <c r="D43" s="126">
        <f>'4. Fin Planning P&amp;L'!E41-'4. Fin Planning P&amp;L'!I41-'4. Fin Planning P&amp;L'!J41</f>
        <v/>
      </c>
      <c r="E43" s="122">
        <f>IF($C43="","",SUMIFS('2. Ops Planning'!$J$5:$J$200,'2. Ops Planning'!$H$5:$H$200,"&gt;="&amp;$C43,'2. Ops Planning'!$H$5:$H$200,"&lt;"&amp;$C43+7)+SUMIFS('2. Ops Planning'!$M$5:$M$200,'2. Ops Planning'!$K$5:$K$200,"&gt;="&amp;$C43,'2. Ops Planning'!$K$5:$K$200,"&lt;"&amp;$C43+7)+SUMIFS('2. Ops Planning'!$P$5:$P$200,'2. Ops Planning'!$N$5:$N$200,"&gt;="&amp;$C43,'2. Ops Planning'!$N$5:$N$200,"&lt;"&amp;$C43+7))</f>
        <v/>
      </c>
      <c r="F43" s="123">
        <f>IF($B43="","",'1. Product Setup'!$C$20)</f>
        <v/>
      </c>
      <c r="G43" s="124">
        <f>IF($B43="","",D43-E43-F43)</f>
        <v/>
      </c>
      <c r="H43" s="124">
        <f>IF($B43="","",IF($B43=1,'1. Product Setup'!$C$18+G43,H42+G43))</f>
        <v/>
      </c>
      <c r="I43" s="162">
        <f>IF($C43="","",MONTH($C43))</f>
        <v/>
      </c>
      <c r="J43" s="162">
        <f>IF($C43="","",ROUNDUP(MONTH($C43)/3,0))</f>
        <v/>
      </c>
    </row>
    <row r="44" ht="19.5" customHeight="1" s="58">
      <c r="B44" s="83" t="n">
        <v>40</v>
      </c>
      <c r="C44" s="84" t="n">
        <v>45936</v>
      </c>
      <c r="D44" s="126">
        <f>'4. Fin Planning P&amp;L'!E42-'4. Fin Planning P&amp;L'!I42-'4. Fin Planning P&amp;L'!J42</f>
        <v/>
      </c>
      <c r="E44" s="122">
        <f>IF($C44="","",SUMIFS('2. Ops Planning'!$J$5:$J$200,'2. Ops Planning'!$H$5:$H$200,"&gt;="&amp;$C44,'2. Ops Planning'!$H$5:$H$200,"&lt;"&amp;$C44+7)+SUMIFS('2. Ops Planning'!$M$5:$M$200,'2. Ops Planning'!$K$5:$K$200,"&gt;="&amp;$C44,'2. Ops Planning'!$K$5:$K$200,"&lt;"&amp;$C44+7)+SUMIFS('2. Ops Planning'!$P$5:$P$200,'2. Ops Planning'!$N$5:$N$200,"&gt;="&amp;$C44,'2. Ops Planning'!$N$5:$N$200,"&lt;"&amp;$C44+7))</f>
        <v/>
      </c>
      <c r="F44" s="123">
        <f>IF($B44="","",'1. Product Setup'!$C$20)</f>
        <v/>
      </c>
      <c r="G44" s="124">
        <f>IF($B44="","",D44-E44-F44)</f>
        <v/>
      </c>
      <c r="H44" s="124">
        <f>IF($B44="","",IF($B44=1,'1. Product Setup'!$C$18+G44,H43+G44))</f>
        <v/>
      </c>
      <c r="I44" s="162">
        <f>IF($C44="","",MONTH($C44))</f>
        <v/>
      </c>
      <c r="J44" s="162">
        <f>IF($C44="","",ROUNDUP(MONTH($C44)/3,0))</f>
        <v/>
      </c>
    </row>
    <row r="45" ht="19.5" customHeight="1" s="58">
      <c r="B45" s="83" t="n">
        <v>41</v>
      </c>
      <c r="C45" s="84" t="n">
        <v>45943</v>
      </c>
      <c r="D45" s="126">
        <f>'4. Fin Planning P&amp;L'!E43-'4. Fin Planning P&amp;L'!I43-'4. Fin Planning P&amp;L'!J43</f>
        <v/>
      </c>
      <c r="E45" s="122">
        <f>IF($C45="","",SUMIFS('2. Ops Planning'!$J$5:$J$200,'2. Ops Planning'!$H$5:$H$200,"&gt;="&amp;$C45,'2. Ops Planning'!$H$5:$H$200,"&lt;"&amp;$C45+7)+SUMIFS('2. Ops Planning'!$M$5:$M$200,'2. Ops Planning'!$K$5:$K$200,"&gt;="&amp;$C45,'2. Ops Planning'!$K$5:$K$200,"&lt;"&amp;$C45+7)+SUMIFS('2. Ops Planning'!$P$5:$P$200,'2. Ops Planning'!$N$5:$N$200,"&gt;="&amp;$C45,'2. Ops Planning'!$N$5:$N$200,"&lt;"&amp;$C45+7))</f>
        <v/>
      </c>
      <c r="F45" s="123">
        <f>IF($B45="","",'1. Product Setup'!$C$20)</f>
        <v/>
      </c>
      <c r="G45" s="124">
        <f>IF($B45="","",D45-E45-F45)</f>
        <v/>
      </c>
      <c r="H45" s="124">
        <f>IF($B45="","",IF($B45=1,'1. Product Setup'!$C$18+G45,H44+G45))</f>
        <v/>
      </c>
      <c r="I45" s="162">
        <f>IF($C45="","",MONTH($C45))</f>
        <v/>
      </c>
      <c r="J45" s="162">
        <f>IF($C45="","",ROUNDUP(MONTH($C45)/3,0))</f>
        <v/>
      </c>
    </row>
    <row r="46" ht="19.5" customHeight="1" s="58">
      <c r="B46" s="83" t="n">
        <v>42</v>
      </c>
      <c r="C46" s="84" t="n">
        <v>45950</v>
      </c>
      <c r="D46" s="126">
        <f>'4. Fin Planning P&amp;L'!E44-'4. Fin Planning P&amp;L'!I44-'4. Fin Planning P&amp;L'!J44</f>
        <v/>
      </c>
      <c r="E46" s="122">
        <f>IF($C46="","",SUMIFS('2. Ops Planning'!$J$5:$J$200,'2. Ops Planning'!$H$5:$H$200,"&gt;="&amp;$C46,'2. Ops Planning'!$H$5:$H$200,"&lt;"&amp;$C46+7)+SUMIFS('2. Ops Planning'!$M$5:$M$200,'2. Ops Planning'!$K$5:$K$200,"&gt;="&amp;$C46,'2. Ops Planning'!$K$5:$K$200,"&lt;"&amp;$C46+7)+SUMIFS('2. Ops Planning'!$P$5:$P$200,'2. Ops Planning'!$N$5:$N$200,"&gt;="&amp;$C46,'2. Ops Planning'!$N$5:$N$200,"&lt;"&amp;$C46+7))</f>
        <v/>
      </c>
      <c r="F46" s="123">
        <f>IF($B46="","",'1. Product Setup'!$C$20)</f>
        <v/>
      </c>
      <c r="G46" s="124">
        <f>IF($B46="","",D46-E46-F46)</f>
        <v/>
      </c>
      <c r="H46" s="124">
        <f>IF($B46="","",IF($B46=1,'1. Product Setup'!$C$18+G46,H45+G46))</f>
        <v/>
      </c>
      <c r="I46" s="162">
        <f>IF($C46="","",MONTH($C46))</f>
        <v/>
      </c>
      <c r="J46" s="162">
        <f>IF($C46="","",ROUNDUP(MONTH($C46)/3,0))</f>
        <v/>
      </c>
    </row>
    <row r="47" ht="19.5" customHeight="1" s="58">
      <c r="B47" s="83" t="n">
        <v>43</v>
      </c>
      <c r="C47" s="84" t="n">
        <v>45957</v>
      </c>
      <c r="D47" s="126">
        <f>'4. Fin Planning P&amp;L'!E45-'4. Fin Planning P&amp;L'!I45-'4. Fin Planning P&amp;L'!J45</f>
        <v/>
      </c>
      <c r="E47" s="122">
        <f>IF($C47="","",SUMIFS('2. Ops Planning'!$J$5:$J$200,'2. Ops Planning'!$H$5:$H$200,"&gt;="&amp;$C47,'2. Ops Planning'!$H$5:$H$200,"&lt;"&amp;$C47+7)+SUMIFS('2. Ops Planning'!$M$5:$M$200,'2. Ops Planning'!$K$5:$K$200,"&gt;="&amp;$C47,'2. Ops Planning'!$K$5:$K$200,"&lt;"&amp;$C47+7)+SUMIFS('2. Ops Planning'!$P$5:$P$200,'2. Ops Planning'!$N$5:$N$200,"&gt;="&amp;$C47,'2. Ops Planning'!$N$5:$N$200,"&lt;"&amp;$C47+7))</f>
        <v/>
      </c>
      <c r="F47" s="123">
        <f>IF($B47="","",'1. Product Setup'!$C$20)</f>
        <v/>
      </c>
      <c r="G47" s="124">
        <f>IF($B47="","",D47-E47-F47)</f>
        <v/>
      </c>
      <c r="H47" s="124">
        <f>IF($B47="","",IF($B47=1,'1. Product Setup'!$C$18+G47,H46+G47))</f>
        <v/>
      </c>
      <c r="I47" s="162">
        <f>IF($C47="","",MONTH($C47))</f>
        <v/>
      </c>
      <c r="J47" s="162">
        <f>IF($C47="","",ROUNDUP(MONTH($C47)/3,0))</f>
        <v/>
      </c>
    </row>
    <row r="48" ht="19.5" customHeight="1" s="58">
      <c r="B48" s="83" t="n">
        <v>44</v>
      </c>
      <c r="C48" s="84" t="n">
        <v>45964</v>
      </c>
      <c r="D48" s="126">
        <f>'4. Fin Planning P&amp;L'!E46-'4. Fin Planning P&amp;L'!I46-'4. Fin Planning P&amp;L'!J46</f>
        <v/>
      </c>
      <c r="E48" s="122">
        <f>IF($C48="","",SUMIFS('2. Ops Planning'!$J$5:$J$200,'2. Ops Planning'!$H$5:$H$200,"&gt;="&amp;$C48,'2. Ops Planning'!$H$5:$H$200,"&lt;"&amp;$C48+7)+SUMIFS('2. Ops Planning'!$M$5:$M$200,'2. Ops Planning'!$K$5:$K$200,"&gt;="&amp;$C48,'2. Ops Planning'!$K$5:$K$200,"&lt;"&amp;$C48+7)+SUMIFS('2. Ops Planning'!$P$5:$P$200,'2. Ops Planning'!$N$5:$N$200,"&gt;="&amp;$C48,'2. Ops Planning'!$N$5:$N$200,"&lt;"&amp;$C48+7))</f>
        <v/>
      </c>
      <c r="F48" s="123">
        <f>IF($B48="","",'1. Product Setup'!$C$20)</f>
        <v/>
      </c>
      <c r="G48" s="124">
        <f>IF($B48="","",D48-E48-F48)</f>
        <v/>
      </c>
      <c r="H48" s="124">
        <f>IF($B48="","",IF($B48=1,'1. Product Setup'!$C$18+G48,H47+G48))</f>
        <v/>
      </c>
      <c r="I48" s="162">
        <f>IF($C48="","",MONTH($C48))</f>
        <v/>
      </c>
      <c r="J48" s="162">
        <f>IF($C48="","",ROUNDUP(MONTH($C48)/3,0))</f>
        <v/>
      </c>
    </row>
    <row r="49" ht="19.5" customHeight="1" s="58">
      <c r="B49" s="83" t="n">
        <v>45</v>
      </c>
      <c r="C49" s="84" t="n">
        <v>45971</v>
      </c>
      <c r="D49" s="126">
        <f>'4. Fin Planning P&amp;L'!E47-'4. Fin Planning P&amp;L'!I47-'4. Fin Planning P&amp;L'!J47</f>
        <v/>
      </c>
      <c r="E49" s="122">
        <f>IF($C49="","",SUMIFS('2. Ops Planning'!$J$5:$J$200,'2. Ops Planning'!$H$5:$H$200,"&gt;="&amp;$C49,'2. Ops Planning'!$H$5:$H$200,"&lt;"&amp;$C49+7)+SUMIFS('2. Ops Planning'!$M$5:$M$200,'2. Ops Planning'!$K$5:$K$200,"&gt;="&amp;$C49,'2. Ops Planning'!$K$5:$K$200,"&lt;"&amp;$C49+7)+SUMIFS('2. Ops Planning'!$P$5:$P$200,'2. Ops Planning'!$N$5:$N$200,"&gt;="&amp;$C49,'2. Ops Planning'!$N$5:$N$200,"&lt;"&amp;$C49+7))</f>
        <v/>
      </c>
      <c r="F49" s="123">
        <f>IF($B49="","",'1. Product Setup'!$C$20)</f>
        <v/>
      </c>
      <c r="G49" s="124">
        <f>IF($B49="","",D49-E49-F49)</f>
        <v/>
      </c>
      <c r="H49" s="124">
        <f>IF($B49="","",IF($B49=1,'1. Product Setup'!$C$18+G49,H48+G49))</f>
        <v/>
      </c>
      <c r="I49" s="162">
        <f>IF($C49="","",MONTH($C49))</f>
        <v/>
      </c>
      <c r="J49" s="162">
        <f>IF($C49="","",ROUNDUP(MONTH($C49)/3,0))</f>
        <v/>
      </c>
    </row>
    <row r="50" ht="19.5" customHeight="1" s="58">
      <c r="B50" s="83" t="n">
        <v>46</v>
      </c>
      <c r="C50" s="84" t="n">
        <v>45978</v>
      </c>
      <c r="D50" s="126">
        <f>'4. Fin Planning P&amp;L'!E48-'4. Fin Planning P&amp;L'!I48-'4. Fin Planning P&amp;L'!J48</f>
        <v/>
      </c>
      <c r="E50" s="122">
        <f>IF($C50="","",SUMIFS('2. Ops Planning'!$J$5:$J$200,'2. Ops Planning'!$H$5:$H$200,"&gt;="&amp;$C50,'2. Ops Planning'!$H$5:$H$200,"&lt;"&amp;$C50+7)+SUMIFS('2. Ops Planning'!$M$5:$M$200,'2. Ops Planning'!$K$5:$K$200,"&gt;="&amp;$C50,'2. Ops Planning'!$K$5:$K$200,"&lt;"&amp;$C50+7)+SUMIFS('2. Ops Planning'!$P$5:$P$200,'2. Ops Planning'!$N$5:$N$200,"&gt;="&amp;$C50,'2. Ops Planning'!$N$5:$N$200,"&lt;"&amp;$C50+7))</f>
        <v/>
      </c>
      <c r="F50" s="123">
        <f>IF($B50="","",'1. Product Setup'!$C$20)</f>
        <v/>
      </c>
      <c r="G50" s="124">
        <f>IF($B50="","",D50-E50-F50)</f>
        <v/>
      </c>
      <c r="H50" s="124">
        <f>IF($B50="","",IF($B50=1,'1. Product Setup'!$C$18+G50,H49+G50))</f>
        <v/>
      </c>
      <c r="I50" s="162">
        <f>IF($C50="","",MONTH($C50))</f>
        <v/>
      </c>
      <c r="J50" s="162">
        <f>IF($C50="","",ROUNDUP(MONTH($C50)/3,0))</f>
        <v/>
      </c>
    </row>
    <row r="51" ht="19.5" customHeight="1" s="58">
      <c r="B51" s="83" t="n">
        <v>47</v>
      </c>
      <c r="C51" s="84" t="n">
        <v>45985</v>
      </c>
      <c r="D51" s="126">
        <f>'4. Fin Planning P&amp;L'!E49-'4. Fin Planning P&amp;L'!I49-'4. Fin Planning P&amp;L'!J49</f>
        <v/>
      </c>
      <c r="E51" s="122">
        <f>IF($C51="","",SUMIFS('2. Ops Planning'!$J$5:$J$200,'2. Ops Planning'!$H$5:$H$200,"&gt;="&amp;$C51,'2. Ops Planning'!$H$5:$H$200,"&lt;"&amp;$C51+7)+SUMIFS('2. Ops Planning'!$M$5:$M$200,'2. Ops Planning'!$K$5:$K$200,"&gt;="&amp;$C51,'2. Ops Planning'!$K$5:$K$200,"&lt;"&amp;$C51+7)+SUMIFS('2. Ops Planning'!$P$5:$P$200,'2. Ops Planning'!$N$5:$N$200,"&gt;="&amp;$C51,'2. Ops Planning'!$N$5:$N$200,"&lt;"&amp;$C51+7))</f>
        <v/>
      </c>
      <c r="F51" s="123">
        <f>IF($B51="","",'1. Product Setup'!$C$20)</f>
        <v/>
      </c>
      <c r="G51" s="124">
        <f>IF($B51="","",D51-E51-F51)</f>
        <v/>
      </c>
      <c r="H51" s="124">
        <f>IF($B51="","",IF($B51=1,'1. Product Setup'!$C$18+G51,H50+G51))</f>
        <v/>
      </c>
      <c r="I51" s="162">
        <f>IF($C51="","",MONTH($C51))</f>
        <v/>
      </c>
      <c r="J51" s="162">
        <f>IF($C51="","",ROUNDUP(MONTH($C51)/3,0))</f>
        <v/>
      </c>
    </row>
    <row r="52" ht="19.5" customHeight="1" s="58">
      <c r="B52" s="83" t="n">
        <v>48</v>
      </c>
      <c r="C52" s="84" t="n">
        <v>45992</v>
      </c>
      <c r="D52" s="126">
        <f>'4. Fin Planning P&amp;L'!E50-'4. Fin Planning P&amp;L'!I50-'4. Fin Planning P&amp;L'!J50</f>
        <v/>
      </c>
      <c r="E52" s="122">
        <f>IF($C52="","",SUMIFS('2. Ops Planning'!$J$5:$J$200,'2. Ops Planning'!$H$5:$H$200,"&gt;="&amp;$C52,'2. Ops Planning'!$H$5:$H$200,"&lt;"&amp;$C52+7)+SUMIFS('2. Ops Planning'!$M$5:$M$200,'2. Ops Planning'!$K$5:$K$200,"&gt;="&amp;$C52,'2. Ops Planning'!$K$5:$K$200,"&lt;"&amp;$C52+7)+SUMIFS('2. Ops Planning'!$P$5:$P$200,'2. Ops Planning'!$N$5:$N$200,"&gt;="&amp;$C52,'2. Ops Planning'!$N$5:$N$200,"&lt;"&amp;$C52+7))</f>
        <v/>
      </c>
      <c r="F52" s="123">
        <f>IF($B52="","",'1. Product Setup'!$C$20)</f>
        <v/>
      </c>
      <c r="G52" s="124">
        <f>IF($B52="","",D52-E52-F52)</f>
        <v/>
      </c>
      <c r="H52" s="124">
        <f>IF($B52="","",IF($B52=1,'1. Product Setup'!$C$18+G52,H51+G52))</f>
        <v/>
      </c>
      <c r="I52" s="162">
        <f>IF($C52="","",MONTH($C52))</f>
        <v/>
      </c>
      <c r="J52" s="162">
        <f>IF($C52="","",ROUNDUP(MONTH($C52)/3,0))</f>
        <v/>
      </c>
    </row>
    <row r="53" ht="19.5" customHeight="1" s="58">
      <c r="B53" s="83" t="n">
        <v>49</v>
      </c>
      <c r="C53" s="84" t="n">
        <v>45999</v>
      </c>
      <c r="D53" s="126">
        <f>'4. Fin Planning P&amp;L'!E51-'4. Fin Planning P&amp;L'!I51-'4. Fin Planning P&amp;L'!J51</f>
        <v/>
      </c>
      <c r="E53" s="122">
        <f>IF($C53="","",SUMIFS('2. Ops Planning'!$J$5:$J$200,'2. Ops Planning'!$H$5:$H$200,"&gt;="&amp;$C53,'2. Ops Planning'!$H$5:$H$200,"&lt;"&amp;$C53+7)+SUMIFS('2. Ops Planning'!$M$5:$M$200,'2. Ops Planning'!$K$5:$K$200,"&gt;="&amp;$C53,'2. Ops Planning'!$K$5:$K$200,"&lt;"&amp;$C53+7)+SUMIFS('2. Ops Planning'!$P$5:$P$200,'2. Ops Planning'!$N$5:$N$200,"&gt;="&amp;$C53,'2. Ops Planning'!$N$5:$N$200,"&lt;"&amp;$C53+7))</f>
        <v/>
      </c>
      <c r="F53" s="123">
        <f>IF($B53="","",'1. Product Setup'!$C$20)</f>
        <v/>
      </c>
      <c r="G53" s="124">
        <f>IF($B53="","",D53-E53-F53)</f>
        <v/>
      </c>
      <c r="H53" s="124">
        <f>IF($B53="","",IF($B53=1,'1. Product Setup'!$C$18+G53,H52+G53))</f>
        <v/>
      </c>
      <c r="I53" s="162">
        <f>IF($C53="","",MONTH($C53))</f>
        <v/>
      </c>
      <c r="J53" s="162">
        <f>IF($C53="","",ROUNDUP(MONTH($C53)/3,0))</f>
        <v/>
      </c>
    </row>
    <row r="54" ht="19.5" customHeight="1" s="58">
      <c r="B54" s="83" t="n">
        <v>50</v>
      </c>
      <c r="C54" s="84" t="n">
        <v>46006</v>
      </c>
      <c r="D54" s="126">
        <f>'4. Fin Planning P&amp;L'!E52-'4. Fin Planning P&amp;L'!I52-'4. Fin Planning P&amp;L'!J52</f>
        <v/>
      </c>
      <c r="E54" s="122">
        <f>IF($C54="","",SUMIFS('2. Ops Planning'!$J$5:$J$200,'2. Ops Planning'!$H$5:$H$200,"&gt;="&amp;$C54,'2. Ops Planning'!$H$5:$H$200,"&lt;"&amp;$C54+7)+SUMIFS('2. Ops Planning'!$M$5:$M$200,'2. Ops Planning'!$K$5:$K$200,"&gt;="&amp;$C54,'2. Ops Planning'!$K$5:$K$200,"&lt;"&amp;$C54+7)+SUMIFS('2. Ops Planning'!$P$5:$P$200,'2. Ops Planning'!$N$5:$N$200,"&gt;="&amp;$C54,'2. Ops Planning'!$N$5:$N$200,"&lt;"&amp;$C54+7))</f>
        <v/>
      </c>
      <c r="F54" s="123">
        <f>IF($B54="","",'1. Product Setup'!$C$20)</f>
        <v/>
      </c>
      <c r="G54" s="124">
        <f>IF($B54="","",D54-E54-F54)</f>
        <v/>
      </c>
      <c r="H54" s="124">
        <f>IF($B54="","",IF($B54=1,'1. Product Setup'!$C$18+G54,H53+G54))</f>
        <v/>
      </c>
      <c r="I54" s="162">
        <f>IF($C54="","",MONTH($C54))</f>
        <v/>
      </c>
      <c r="J54" s="162">
        <f>IF($C54="","",ROUNDUP(MONTH($C54)/3,0))</f>
        <v/>
      </c>
    </row>
    <row r="55" ht="19.5" customHeight="1" s="58">
      <c r="B55" s="83" t="n">
        <v>51</v>
      </c>
      <c r="C55" s="84" t="n">
        <v>46013</v>
      </c>
      <c r="D55" s="126">
        <f>'4. Fin Planning P&amp;L'!E53-'4. Fin Planning P&amp;L'!I53-'4. Fin Planning P&amp;L'!J53</f>
        <v/>
      </c>
      <c r="E55" s="122">
        <f>IF($C55="","",SUMIFS('2. Ops Planning'!$J$5:$J$200,'2. Ops Planning'!$H$5:$H$200,"&gt;="&amp;$C55,'2. Ops Planning'!$H$5:$H$200,"&lt;"&amp;$C55+7)+SUMIFS('2. Ops Planning'!$M$5:$M$200,'2. Ops Planning'!$K$5:$K$200,"&gt;="&amp;$C55,'2. Ops Planning'!$K$5:$K$200,"&lt;"&amp;$C55+7)+SUMIFS('2. Ops Planning'!$P$5:$P$200,'2. Ops Planning'!$N$5:$N$200,"&gt;="&amp;$C55,'2. Ops Planning'!$N$5:$N$200,"&lt;"&amp;$C55+7))</f>
        <v/>
      </c>
      <c r="F55" s="123">
        <f>IF($B55="","",'1. Product Setup'!$C$20)</f>
        <v/>
      </c>
      <c r="G55" s="124">
        <f>IF($B55="","",D55-E55-F55)</f>
        <v/>
      </c>
      <c r="H55" s="124">
        <f>IF($B55="","",IF($B55=1,'1. Product Setup'!$C$18+G55,H54+G55))</f>
        <v/>
      </c>
      <c r="I55" s="162">
        <f>IF($C55="","",MONTH($C55))</f>
        <v/>
      </c>
      <c r="J55" s="162">
        <f>IF($C55="","",ROUNDUP(MONTH($C55)/3,0))</f>
        <v/>
      </c>
    </row>
    <row r="56" ht="19.5" customHeight="1" s="58">
      <c r="B56" s="83" t="n">
        <v>52</v>
      </c>
      <c r="C56" s="84" t="n">
        <v>46020</v>
      </c>
      <c r="D56" s="126">
        <f>'4. Fin Planning P&amp;L'!E54-'4. Fin Planning P&amp;L'!I54-'4. Fin Planning P&amp;L'!J54</f>
        <v/>
      </c>
      <c r="E56" s="122">
        <f>IF($C56="","",SUMIFS('2. Ops Planning'!$J$5:$J$200,'2. Ops Planning'!$H$5:$H$200,"&gt;="&amp;$C56,'2. Ops Planning'!$H$5:$H$200,"&lt;"&amp;$C56+7)+SUMIFS('2. Ops Planning'!$M$5:$M$200,'2. Ops Planning'!$K$5:$K$200,"&gt;="&amp;$C56,'2. Ops Planning'!$K$5:$K$200,"&lt;"&amp;$C56+7)+SUMIFS('2. Ops Planning'!$P$5:$P$200,'2. Ops Planning'!$N$5:$N$200,"&gt;="&amp;$C56,'2. Ops Planning'!$N$5:$N$200,"&lt;"&amp;$C56+7))</f>
        <v/>
      </c>
      <c r="F56" s="123">
        <f>IF($B56="","",'1. Product Setup'!$C$20)</f>
        <v/>
      </c>
      <c r="G56" s="124">
        <f>IF($B56="","",D56-E56-F56)</f>
        <v/>
      </c>
      <c r="H56" s="124">
        <f>IF($B56="","",IF($B56=1,'1. Product Setup'!$C$18+G56,H55+G56))</f>
        <v/>
      </c>
      <c r="I56" s="162">
        <f>IF($C56="","",MONTH($C56))</f>
        <v/>
      </c>
      <c r="J56" s="162">
        <f>IF($C56="","",ROUNDUP(MONTH($C56)/3,0))</f>
        <v/>
      </c>
    </row>
    <row r="57" ht="19.5" customHeight="1" s="58">
      <c r="B57" s="128" t="inlineStr">
        <is>
          <t>ENDING BALANCE</t>
        </is>
      </c>
      <c r="F57" s="106" t="n"/>
      <c r="H57" s="129">
        <f>H56</f>
        <v/>
      </c>
    </row>
    <row r="58" ht="15" customHeight="1" s="58">
      <c r="K58" s="165" t="inlineStr">
        <is>
          <t>Monthly Cash Flow Summary</t>
        </is>
      </c>
      <c r="L58" s="164" t="n"/>
      <c r="M58" s="164" t="n"/>
      <c r="N58" s="164" t="n"/>
      <c r="O58" s="164" t="n"/>
      <c r="P58" s="164" t="n"/>
    </row>
    <row r="59" ht="15" customHeight="1" s="58">
      <c r="K59" s="154" t="inlineStr">
        <is>
          <t>Period</t>
        </is>
      </c>
      <c r="L59" s="154" t="inlineStr">
        <is>
          <t>Amazon Payout</t>
        </is>
      </c>
      <c r="M59" s="154" t="inlineStr">
        <is>
          <t>Inventory Purchase</t>
        </is>
      </c>
      <c r="N59" s="154" t="inlineStr">
        <is>
          <t>Fixed Costs</t>
        </is>
      </c>
      <c r="O59" s="154" t="inlineStr">
        <is>
          <t>Net Cash</t>
        </is>
      </c>
      <c r="P59" s="154" t="inlineStr">
        <is>
          <t>Closing Cash</t>
        </is>
      </c>
    </row>
    <row r="60" ht="15" customHeight="1" s="58">
      <c r="K60" s="150" t="inlineStr">
        <is>
          <t>Jan</t>
        </is>
      </c>
      <c r="L60" s="155">
        <f>SUMIFS($D$5:$D$56,$I$5:$I$56,1)</f>
        <v/>
      </c>
      <c r="M60" s="155">
        <f>SUMIFS($E$5:$E$56,$I$5:$I$56,1)</f>
        <v/>
      </c>
      <c r="N60" s="155">
        <f>SUMIFS($F$5:$F$56,$I$5:$I$56,1)</f>
        <v/>
      </c>
      <c r="O60" s="155">
        <f>SUMIFS($G$5:$G$56,$I$5:$I$56,1)</f>
        <v/>
      </c>
      <c r="P60" s="155">
        <f>IFERROR(LOOKUP(2,1/((YEAR($C$5:$C$56)=2025)*(MONTH($C$5:$C$56)=1)),$H$5:$H$56),0)</f>
        <v/>
      </c>
    </row>
    <row r="61">
      <c r="K61" s="150" t="inlineStr">
        <is>
          <t>Feb</t>
        </is>
      </c>
      <c r="L61" s="155">
        <f>SUMIFS($D$5:$D$56,$I$5:$I$56,2)</f>
        <v/>
      </c>
      <c r="M61" s="155">
        <f>SUMIFS($E$5:$E$56,$I$5:$I$56,2)</f>
        <v/>
      </c>
      <c r="N61" s="155">
        <f>SUMIFS($F$5:$F$56,$I$5:$I$56,2)</f>
        <v/>
      </c>
      <c r="O61" s="155">
        <f>SUMIFS($G$5:$G$56,$I$5:$I$56,2)</f>
        <v/>
      </c>
      <c r="P61" s="155">
        <f>IFERROR(LOOKUP(2,1/((YEAR($C$5:$C$56)=2025)*(MONTH($C$5:$C$56)=2)),$H$5:$H$56),0)</f>
        <v/>
      </c>
    </row>
    <row r="62">
      <c r="K62" s="150" t="inlineStr">
        <is>
          <t>Mar</t>
        </is>
      </c>
      <c r="L62" s="155">
        <f>SUMIFS($D$5:$D$56,$I$5:$I$56,3)</f>
        <v/>
      </c>
      <c r="M62" s="155">
        <f>SUMIFS($E$5:$E$56,$I$5:$I$56,3)</f>
        <v/>
      </c>
      <c r="N62" s="155">
        <f>SUMIFS($F$5:$F$56,$I$5:$I$56,3)</f>
        <v/>
      </c>
      <c r="O62" s="155">
        <f>SUMIFS($G$5:$G$56,$I$5:$I$56,3)</f>
        <v/>
      </c>
      <c r="P62" s="155">
        <f>IFERROR(LOOKUP(2,1/((YEAR($C$5:$C$56)=2025)*(MONTH($C$5:$C$56)=3)),$H$5:$H$56),0)</f>
        <v/>
      </c>
    </row>
    <row r="63">
      <c r="K63" s="150" t="inlineStr">
        <is>
          <t>Apr</t>
        </is>
      </c>
      <c r="L63" s="155">
        <f>SUMIFS($D$5:$D$56,$I$5:$I$56,4)</f>
        <v/>
      </c>
      <c r="M63" s="155">
        <f>SUMIFS($E$5:$E$56,$I$5:$I$56,4)</f>
        <v/>
      </c>
      <c r="N63" s="155">
        <f>SUMIFS($F$5:$F$56,$I$5:$I$56,4)</f>
        <v/>
      </c>
      <c r="O63" s="155">
        <f>SUMIFS($G$5:$G$56,$I$5:$I$56,4)</f>
        <v/>
      </c>
      <c r="P63" s="155">
        <f>IFERROR(LOOKUP(2,1/((YEAR($C$5:$C$56)=2025)*(MONTH($C$5:$C$56)=4)),$H$5:$H$56),0)</f>
        <v/>
      </c>
    </row>
    <row r="64">
      <c r="K64" s="150" t="inlineStr">
        <is>
          <t>May</t>
        </is>
      </c>
      <c r="L64" s="155">
        <f>SUMIFS($D$5:$D$56,$I$5:$I$56,5)</f>
        <v/>
      </c>
      <c r="M64" s="155">
        <f>SUMIFS($E$5:$E$56,$I$5:$I$56,5)</f>
        <v/>
      </c>
      <c r="N64" s="155">
        <f>SUMIFS($F$5:$F$56,$I$5:$I$56,5)</f>
        <v/>
      </c>
      <c r="O64" s="155">
        <f>SUMIFS($G$5:$G$56,$I$5:$I$56,5)</f>
        <v/>
      </c>
      <c r="P64" s="155">
        <f>IFERROR(LOOKUP(2,1/((YEAR($C$5:$C$56)=2025)*(MONTH($C$5:$C$56)=5)),$H$5:$H$56),0)</f>
        <v/>
      </c>
    </row>
    <row r="65">
      <c r="K65" s="150" t="inlineStr">
        <is>
          <t>Jun</t>
        </is>
      </c>
      <c r="L65" s="155">
        <f>SUMIFS($D$5:$D$56,$I$5:$I$56,6)</f>
        <v/>
      </c>
      <c r="M65" s="155">
        <f>SUMIFS($E$5:$E$56,$I$5:$I$56,6)</f>
        <v/>
      </c>
      <c r="N65" s="155">
        <f>SUMIFS($F$5:$F$56,$I$5:$I$56,6)</f>
        <v/>
      </c>
      <c r="O65" s="155">
        <f>SUMIFS($G$5:$G$56,$I$5:$I$56,6)</f>
        <v/>
      </c>
      <c r="P65" s="155">
        <f>IFERROR(LOOKUP(2,1/((YEAR($C$5:$C$56)=2025)*(MONTH($C$5:$C$56)=6)),$H$5:$H$56),0)</f>
        <v/>
      </c>
    </row>
    <row r="66">
      <c r="K66" s="150" t="inlineStr">
        <is>
          <t>Jul</t>
        </is>
      </c>
      <c r="L66" s="155">
        <f>SUMIFS($D$5:$D$56,$I$5:$I$56,7)</f>
        <v/>
      </c>
      <c r="M66" s="155">
        <f>SUMIFS($E$5:$E$56,$I$5:$I$56,7)</f>
        <v/>
      </c>
      <c r="N66" s="155">
        <f>SUMIFS($F$5:$F$56,$I$5:$I$56,7)</f>
        <v/>
      </c>
      <c r="O66" s="155">
        <f>SUMIFS($G$5:$G$56,$I$5:$I$56,7)</f>
        <v/>
      </c>
      <c r="P66" s="155">
        <f>IFERROR(LOOKUP(2,1/((YEAR($C$5:$C$56)=2025)*(MONTH($C$5:$C$56)=7)),$H$5:$H$56),0)</f>
        <v/>
      </c>
    </row>
    <row r="67">
      <c r="K67" s="150" t="inlineStr">
        <is>
          <t>Aug</t>
        </is>
      </c>
      <c r="L67" s="155">
        <f>SUMIFS($D$5:$D$56,$I$5:$I$56,8)</f>
        <v/>
      </c>
      <c r="M67" s="155">
        <f>SUMIFS($E$5:$E$56,$I$5:$I$56,8)</f>
        <v/>
      </c>
      <c r="N67" s="155">
        <f>SUMIFS($F$5:$F$56,$I$5:$I$56,8)</f>
        <v/>
      </c>
      <c r="O67" s="155">
        <f>SUMIFS($G$5:$G$56,$I$5:$I$56,8)</f>
        <v/>
      </c>
      <c r="P67" s="155">
        <f>IFERROR(LOOKUP(2,1/((YEAR($C$5:$C$56)=2025)*(MONTH($C$5:$C$56)=8)),$H$5:$H$56),0)</f>
        <v/>
      </c>
    </row>
    <row r="68">
      <c r="K68" s="150" t="inlineStr">
        <is>
          <t>Sep</t>
        </is>
      </c>
      <c r="L68" s="155">
        <f>SUMIFS($D$5:$D$56,$I$5:$I$56,9)</f>
        <v/>
      </c>
      <c r="M68" s="155">
        <f>SUMIFS($E$5:$E$56,$I$5:$I$56,9)</f>
        <v/>
      </c>
      <c r="N68" s="155">
        <f>SUMIFS($F$5:$F$56,$I$5:$I$56,9)</f>
        <v/>
      </c>
      <c r="O68" s="155">
        <f>SUMIFS($G$5:$G$56,$I$5:$I$56,9)</f>
        <v/>
      </c>
      <c r="P68" s="155">
        <f>IFERROR(LOOKUP(2,1/((YEAR($C$5:$C$56)=2025)*(MONTH($C$5:$C$56)=9)),$H$5:$H$56),0)</f>
        <v/>
      </c>
    </row>
    <row r="69">
      <c r="K69" s="150" t="inlineStr">
        <is>
          <t>Oct</t>
        </is>
      </c>
      <c r="L69" s="155">
        <f>SUMIFS($D$5:$D$56,$I$5:$I$56,10)</f>
        <v/>
      </c>
      <c r="M69" s="155">
        <f>SUMIFS($E$5:$E$56,$I$5:$I$56,10)</f>
        <v/>
      </c>
      <c r="N69" s="155">
        <f>SUMIFS($F$5:$F$56,$I$5:$I$56,10)</f>
        <v/>
      </c>
      <c r="O69" s="155">
        <f>SUMIFS($G$5:$G$56,$I$5:$I$56,10)</f>
        <v/>
      </c>
      <c r="P69" s="155">
        <f>IFERROR(LOOKUP(2,1/((YEAR($C$5:$C$56)=2025)*(MONTH($C$5:$C$56)=10)),$H$5:$H$56),0)</f>
        <v/>
      </c>
    </row>
    <row r="70">
      <c r="K70" s="150" t="inlineStr">
        <is>
          <t>Nov</t>
        </is>
      </c>
      <c r="L70" s="155">
        <f>SUMIFS($D$5:$D$56,$I$5:$I$56,11)</f>
        <v/>
      </c>
      <c r="M70" s="155">
        <f>SUMIFS($E$5:$E$56,$I$5:$I$56,11)</f>
        <v/>
      </c>
      <c r="N70" s="155">
        <f>SUMIFS($F$5:$F$56,$I$5:$I$56,11)</f>
        <v/>
      </c>
      <c r="O70" s="155">
        <f>SUMIFS($G$5:$G$56,$I$5:$I$56,11)</f>
        <v/>
      </c>
      <c r="P70" s="155">
        <f>IFERROR(LOOKUP(2,1/((YEAR($C$5:$C$56)=2025)*(MONTH($C$5:$C$56)=11)),$H$5:$H$56),0)</f>
        <v/>
      </c>
    </row>
    <row r="71">
      <c r="K71" s="150" t="inlineStr">
        <is>
          <t>Dec</t>
        </is>
      </c>
      <c r="L71" s="155">
        <f>SUMIFS($D$5:$D$56,$I$5:$I$56,12)</f>
        <v/>
      </c>
      <c r="M71" s="155">
        <f>SUMIFS($E$5:$E$56,$I$5:$I$56,12)</f>
        <v/>
      </c>
      <c r="N71" s="155">
        <f>SUMIFS($F$5:$F$56,$I$5:$I$56,12)</f>
        <v/>
      </c>
      <c r="O71" s="155">
        <f>SUMIFS($G$5:$G$56,$I$5:$I$56,12)</f>
        <v/>
      </c>
      <c r="P71" s="155">
        <f>IFERROR(LOOKUP(2,1/((YEAR($C$5:$C$56)=2025)*(MONTH($C$5:$C$56)=12)),$H$5:$H$56),0)</f>
        <v/>
      </c>
    </row>
    <row r="72">
      <c r="K72" s="164" t="n"/>
      <c r="L72" s="164" t="n"/>
      <c r="M72" s="164" t="n"/>
      <c r="N72" s="164" t="n"/>
      <c r="O72" s="164" t="n"/>
      <c r="P72" s="164" t="n"/>
    </row>
    <row r="73">
      <c r="K73" s="165" t="inlineStr">
        <is>
          <t>Quarterly Cash Flow Summary</t>
        </is>
      </c>
      <c r="L73" s="164" t="n"/>
      <c r="M73" s="164" t="n"/>
      <c r="N73" s="164" t="n"/>
      <c r="O73" s="164" t="n"/>
      <c r="P73" s="164" t="n"/>
    </row>
    <row r="74">
      <c r="K74" s="154" t="inlineStr">
        <is>
          <t>Period</t>
        </is>
      </c>
      <c r="L74" s="154" t="inlineStr">
        <is>
          <t>Amazon Payout</t>
        </is>
      </c>
      <c r="M74" s="154" t="inlineStr">
        <is>
          <t>Inventory Purchase</t>
        </is>
      </c>
      <c r="N74" s="154" t="inlineStr">
        <is>
          <t>Fixed Costs</t>
        </is>
      </c>
      <c r="O74" s="154" t="inlineStr">
        <is>
          <t>Net Cash</t>
        </is>
      </c>
      <c r="P74" s="154" t="inlineStr">
        <is>
          <t>Closing Cash</t>
        </is>
      </c>
    </row>
    <row r="75">
      <c r="K75" s="150" t="inlineStr">
        <is>
          <t>Q1</t>
        </is>
      </c>
      <c r="L75" s="155">
        <f>SUMIFS($D$5:$D$56,$J$5:$J$56,1)</f>
        <v/>
      </c>
      <c r="M75" s="155">
        <f>SUMIFS($E$5:$E$56,$J$5:$J$56,1)</f>
        <v/>
      </c>
      <c r="N75" s="155">
        <f>SUMIFS($F$5:$F$56,$J$5:$J$56,1)</f>
        <v/>
      </c>
      <c r="O75" s="155">
        <f>SUMIFS($G$5:$G$56,$J$5:$J$56,1)</f>
        <v/>
      </c>
      <c r="P75" s="155">
        <f>IFERROR(LOOKUP(2,1/((YEAR($C$5:$C$56)=2025)*(ROUNDUP(MONTH($C$5:$C$56)/3,0)=1)),$H$5:$H$56),0)</f>
        <v/>
      </c>
    </row>
    <row r="76">
      <c r="K76" s="150" t="inlineStr">
        <is>
          <t>Q2</t>
        </is>
      </c>
      <c r="L76" s="155">
        <f>SUMIFS($D$5:$D$56,$J$5:$J$56,2)</f>
        <v/>
      </c>
      <c r="M76" s="155">
        <f>SUMIFS($E$5:$E$56,$J$5:$J$56,2)</f>
        <v/>
      </c>
      <c r="N76" s="155">
        <f>SUMIFS($F$5:$F$56,$J$5:$J$56,2)</f>
        <v/>
      </c>
      <c r="O76" s="155">
        <f>SUMIFS($G$5:$G$56,$J$5:$J$56,2)</f>
        <v/>
      </c>
      <c r="P76" s="155">
        <f>IFERROR(LOOKUP(2,1/((YEAR($C$5:$C$56)=2025)*(ROUNDUP(MONTH($C$5:$C$56)/3,0)=2)),$H$5:$H$56),0)</f>
        <v/>
      </c>
    </row>
    <row r="77">
      <c r="K77" s="150" t="inlineStr">
        <is>
          <t>Q3</t>
        </is>
      </c>
      <c r="L77" s="155">
        <f>SUMIFS($D$5:$D$56,$J$5:$J$56,3)</f>
        <v/>
      </c>
      <c r="M77" s="155">
        <f>SUMIFS($E$5:$E$56,$J$5:$J$56,3)</f>
        <v/>
      </c>
      <c r="N77" s="155">
        <f>SUMIFS($F$5:$F$56,$J$5:$J$56,3)</f>
        <v/>
      </c>
      <c r="O77" s="155">
        <f>SUMIFS($G$5:$G$56,$J$5:$J$56,3)</f>
        <v/>
      </c>
      <c r="P77" s="155">
        <f>IFERROR(LOOKUP(2,1/((YEAR($C$5:$C$56)=2025)*(ROUNDUP(MONTH($C$5:$C$56)/3,0)=3)),$H$5:$H$56),0)</f>
        <v/>
      </c>
    </row>
    <row r="78">
      <c r="K78" s="150" t="inlineStr">
        <is>
          <t>Q4</t>
        </is>
      </c>
      <c r="L78" s="155">
        <f>SUMIFS($D$5:$D$56,$J$5:$J$56,4)</f>
        <v/>
      </c>
      <c r="M78" s="155">
        <f>SUMIFS($E$5:$E$56,$J$5:$J$56,4)</f>
        <v/>
      </c>
      <c r="N78" s="155">
        <f>SUMIFS($F$5:$F$56,$J$5:$J$56,4)</f>
        <v/>
      </c>
      <c r="O78" s="155">
        <f>SUMIFS($G$5:$G$56,$J$5:$J$56,4)</f>
        <v/>
      </c>
      <c r="P78" s="155">
        <f>IFERROR(LOOKUP(2,1/((YEAR($C$5:$C$56)=2025)*(ROUNDUP(MONTH($C$5:$C$56)/3,0)=4)),$H$5:$H$56),0)</f>
        <v/>
      </c>
    </row>
    <row r="79">
      <c r="K79" s="164" t="n"/>
      <c r="L79" s="164" t="n"/>
      <c r="M79" s="164" t="n"/>
      <c r="N79" s="164" t="n"/>
      <c r="O79" s="164" t="n"/>
      <c r="P79" s="164" t="n"/>
    </row>
    <row r="80">
      <c r="K80" s="164" t="n"/>
      <c r="L80" s="164" t="n"/>
      <c r="M80" s="164" t="n"/>
      <c r="N80" s="164" t="n"/>
      <c r="O80" s="164" t="n"/>
      <c r="P80" s="164" t="n"/>
    </row>
    <row r="81">
      <c r="K81" s="164" t="n"/>
      <c r="L81" s="164" t="n"/>
      <c r="M81" s="164" t="n"/>
      <c r="N81" s="164" t="n"/>
      <c r="O81" s="164" t="n"/>
      <c r="P81" s="164" t="n"/>
    </row>
    <row r="82">
      <c r="K82" s="164" t="n"/>
      <c r="L82" s="164" t="n"/>
      <c r="M82" s="164" t="n"/>
      <c r="N82" s="164" t="n"/>
      <c r="O82" s="164" t="n"/>
      <c r="P82" s="164" t="n"/>
    </row>
    <row r="83">
      <c r="K83" s="164" t="n"/>
      <c r="L83" s="164" t="n"/>
      <c r="M83" s="164" t="n"/>
      <c r="N83" s="164" t="n"/>
      <c r="O83" s="164" t="n"/>
      <c r="P83" s="164" t="n"/>
    </row>
    <row r="84">
      <c r="K84" s="164" t="n"/>
      <c r="L84" s="164" t="n"/>
      <c r="M84" s="164" t="n"/>
      <c r="N84" s="164" t="n"/>
      <c r="O84" s="164" t="n"/>
      <c r="P84" s="164" t="n"/>
    </row>
    <row r="85">
      <c r="K85" s="164" t="n"/>
      <c r="L85" s="164" t="n"/>
      <c r="M85" s="164" t="n"/>
      <c r="N85" s="164" t="n"/>
      <c r="O85" s="164" t="n"/>
      <c r="P85" s="164" t="n"/>
    </row>
    <row r="86">
      <c r="K86" s="164" t="n"/>
      <c r="L86" s="164" t="n"/>
      <c r="M86" s="164" t="n"/>
      <c r="N86" s="164" t="n"/>
      <c r="O86" s="164" t="n"/>
      <c r="P86" s="164" t="n"/>
    </row>
    <row r="87">
      <c r="K87" s="164" t="n"/>
      <c r="L87" s="164" t="n"/>
      <c r="M87" s="164" t="n"/>
      <c r="N87" s="164" t="n"/>
      <c r="O87" s="164" t="n"/>
      <c r="P87" s="164" t="n"/>
    </row>
    <row r="88">
      <c r="K88" s="164" t="n"/>
      <c r="L88" s="164" t="n"/>
      <c r="M88" s="164" t="n"/>
      <c r="N88" s="164" t="n"/>
      <c r="O88" s="164" t="n"/>
      <c r="P88" s="164" t="n"/>
    </row>
    <row r="89">
      <c r="K89" s="164" t="n"/>
      <c r="L89" s="164" t="n"/>
      <c r="M89" s="164" t="n"/>
      <c r="N89" s="164" t="n"/>
      <c r="O89" s="164" t="n"/>
      <c r="P89" s="164" t="n"/>
    </row>
    <row r="90">
      <c r="K90" s="164" t="n"/>
      <c r="L90" s="164" t="n"/>
      <c r="M90" s="164" t="n"/>
      <c r="N90" s="164" t="n"/>
      <c r="O90" s="164" t="n"/>
      <c r="P90" s="164" t="n"/>
    </row>
    <row r="91">
      <c r="K91" s="164" t="n"/>
      <c r="L91" s="164" t="n"/>
      <c r="M91" s="164" t="n"/>
      <c r="N91" s="164" t="n"/>
      <c r="O91" s="164" t="n"/>
      <c r="P91" s="164" t="n"/>
    </row>
    <row r="92">
      <c r="K92" s="164" t="n"/>
      <c r="L92" s="164" t="n"/>
      <c r="M92" s="164" t="n"/>
      <c r="N92" s="164" t="n"/>
      <c r="O92" s="164" t="n"/>
      <c r="P92" s="164" t="n"/>
    </row>
    <row r="93">
      <c r="K93" s="164" t="n"/>
      <c r="L93" s="164" t="n"/>
      <c r="M93" s="164" t="n"/>
      <c r="N93" s="164" t="n"/>
      <c r="O93" s="164" t="n"/>
      <c r="P93" s="164" t="n"/>
    </row>
    <row r="94">
      <c r="K94" s="164" t="n"/>
      <c r="L94" s="164" t="n"/>
      <c r="M94" s="164" t="n"/>
      <c r="N94" s="164" t="n"/>
      <c r="O94" s="164" t="n"/>
      <c r="P94" s="164" t="n"/>
    </row>
    <row r="95">
      <c r="K95" s="164" t="n"/>
      <c r="L95" s="164" t="n"/>
      <c r="M95" s="164" t="n"/>
      <c r="N95" s="164" t="n"/>
      <c r="O95" s="164" t="n"/>
      <c r="P95" s="164" t="n"/>
    </row>
    <row r="96">
      <c r="K96" s="164" t="n"/>
      <c r="L96" s="164" t="n"/>
      <c r="M96" s="164" t="n"/>
      <c r="N96" s="164" t="n"/>
      <c r="O96" s="164" t="n"/>
      <c r="P96" s="164" t="n"/>
    </row>
    <row r="97">
      <c r="K97" s="164" t="n"/>
      <c r="L97" s="164" t="n"/>
      <c r="M97" s="164" t="n"/>
      <c r="N97" s="164" t="n"/>
      <c r="O97" s="164" t="n"/>
      <c r="P97" s="164" t="n"/>
    </row>
    <row r="98">
      <c r="K98" s="164" t="n"/>
      <c r="L98" s="164" t="n"/>
      <c r="M98" s="164" t="n"/>
      <c r="N98" s="164" t="n"/>
      <c r="O98" s="164" t="n"/>
      <c r="P98" s="164" t="n"/>
    </row>
    <row r="99">
      <c r="K99" s="164" t="n"/>
      <c r="L99" s="164" t="n"/>
      <c r="M99" s="164" t="n"/>
      <c r="N99" s="164" t="n"/>
      <c r="O99" s="164" t="n"/>
      <c r="P99" s="164" t="n"/>
    </row>
    <row r="100">
      <c r="K100" s="164" t="n"/>
      <c r="L100" s="164" t="n"/>
      <c r="M100" s="164" t="n"/>
      <c r="N100" s="164" t="n"/>
      <c r="O100" s="164" t="n"/>
      <c r="P100" s="164" t="n"/>
    </row>
    <row r="101">
      <c r="K101" s="164" t="n"/>
      <c r="L101" s="164" t="n"/>
      <c r="M101" s="164" t="n"/>
      <c r="N101" s="164" t="n"/>
      <c r="O101" s="164" t="n"/>
      <c r="P101" s="164" t="n"/>
    </row>
    <row r="102">
      <c r="K102" s="164" t="n"/>
      <c r="L102" s="164" t="n"/>
      <c r="M102" s="164" t="n"/>
      <c r="N102" s="164" t="n"/>
      <c r="O102" s="164" t="n"/>
      <c r="P102" s="164" t="n"/>
    </row>
    <row r="103">
      <c r="K103" s="164" t="n"/>
      <c r="L103" s="164" t="n"/>
      <c r="M103" s="164" t="n"/>
      <c r="N103" s="164" t="n"/>
      <c r="O103" s="164" t="n"/>
      <c r="P103" s="164" t="n"/>
    </row>
    <row r="104">
      <c r="K104" s="164" t="n"/>
      <c r="L104" s="164" t="n"/>
      <c r="M104" s="164" t="n"/>
      <c r="N104" s="164" t="n"/>
      <c r="O104" s="164" t="n"/>
      <c r="P104" s="164" t="n"/>
    </row>
    <row r="105">
      <c r="K105" s="164" t="n"/>
      <c r="L105" s="164" t="n"/>
      <c r="M105" s="164" t="n"/>
      <c r="N105" s="164" t="n"/>
      <c r="O105" s="164" t="n"/>
      <c r="P105" s="164" t="n"/>
    </row>
    <row r="106">
      <c r="K106" s="164" t="n"/>
      <c r="L106" s="164" t="n"/>
      <c r="M106" s="164" t="n"/>
      <c r="N106" s="164" t="n"/>
      <c r="O106" s="164" t="n"/>
      <c r="P106" s="164" t="n"/>
    </row>
    <row r="107">
      <c r="K107" s="164" t="n"/>
      <c r="L107" s="164" t="n"/>
      <c r="M107" s="164" t="n"/>
      <c r="N107" s="164" t="n"/>
      <c r="O107" s="164" t="n"/>
      <c r="P107" s="164" t="n"/>
    </row>
    <row r="108">
      <c r="K108" s="164" t="n"/>
      <c r="L108" s="164" t="n"/>
      <c r="M108" s="164" t="n"/>
      <c r="N108" s="164" t="n"/>
      <c r="O108" s="164" t="n"/>
      <c r="P108" s="164" t="n"/>
    </row>
    <row r="109">
      <c r="K109" s="164" t="n"/>
      <c r="L109" s="164" t="n"/>
      <c r="M109" s="164" t="n"/>
      <c r="N109" s="164" t="n"/>
      <c r="O109" s="164" t="n"/>
      <c r="P109" s="164" t="n"/>
    </row>
    <row r="110">
      <c r="K110" s="164" t="n"/>
      <c r="L110" s="164" t="n"/>
      <c r="M110" s="164" t="n"/>
      <c r="N110" s="164" t="n"/>
      <c r="O110" s="164" t="n"/>
      <c r="P110" s="164" t="n"/>
    </row>
    <row r="111">
      <c r="K111" s="164" t="n"/>
      <c r="L111" s="164" t="n"/>
      <c r="M111" s="164" t="n"/>
      <c r="N111" s="164" t="n"/>
      <c r="O111" s="164" t="n"/>
      <c r="P111" s="164" t="n"/>
    </row>
    <row r="112">
      <c r="K112" s="164" t="n"/>
      <c r="L112" s="164" t="n"/>
      <c r="M112" s="164" t="n"/>
      <c r="N112" s="164" t="n"/>
      <c r="O112" s="164" t="n"/>
      <c r="P112" s="164" t="n"/>
    </row>
    <row r="113">
      <c r="K113" s="164" t="n"/>
      <c r="L113" s="164" t="n"/>
      <c r="M113" s="164" t="n"/>
      <c r="N113" s="164" t="n"/>
      <c r="O113" s="164" t="n"/>
      <c r="P113" s="164" t="n"/>
    </row>
    <row r="114">
      <c r="K114" s="164" t="n"/>
      <c r="L114" s="164" t="n"/>
      <c r="M114" s="164" t="n"/>
      <c r="N114" s="164" t="n"/>
      <c r="O114" s="164" t="n"/>
      <c r="P114" s="164" t="n"/>
    </row>
    <row r="115">
      <c r="K115" s="164" t="n"/>
      <c r="L115" s="164" t="n"/>
      <c r="M115" s="164" t="n"/>
      <c r="N115" s="164" t="n"/>
      <c r="O115" s="164" t="n"/>
      <c r="P115" s="164" t="n"/>
    </row>
    <row r="116">
      <c r="K116" s="164" t="n"/>
      <c r="L116" s="164" t="n"/>
      <c r="M116" s="164" t="n"/>
      <c r="N116" s="164" t="n"/>
      <c r="O116" s="164" t="n"/>
      <c r="P116" s="164" t="n"/>
    </row>
    <row r="117">
      <c r="K117" s="164" t="n"/>
      <c r="L117" s="164" t="n"/>
      <c r="M117" s="164" t="n"/>
      <c r="N117" s="164" t="n"/>
      <c r="O117" s="164" t="n"/>
      <c r="P117" s="164" t="n"/>
    </row>
    <row r="118">
      <c r="K118" s="164" t="n"/>
      <c r="L118" s="164" t="n"/>
      <c r="M118" s="164" t="n"/>
      <c r="N118" s="164" t="n"/>
      <c r="O118" s="164" t="n"/>
      <c r="P118" s="164" t="n"/>
    </row>
    <row r="119">
      <c r="K119" s="164" t="n"/>
      <c r="L119" s="164" t="n"/>
      <c r="M119" s="164" t="n"/>
      <c r="N119" s="164" t="n"/>
      <c r="O119" s="164" t="n"/>
      <c r="P119" s="16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K28"/>
  <sheetViews>
    <sheetView workbookViewId="0">
      <selection activeCell="A1" sqref="A1"/>
    </sheetView>
  </sheetViews>
  <sheetFormatPr baseColWidth="8" defaultRowHeight="15"/>
  <cols>
    <col width="12" customWidth="1" style="58" min="1" max="1"/>
    <col width="12" customWidth="1" style="58" min="2" max="2"/>
    <col width="12" customWidth="1" style="58" min="3" max="3"/>
    <col width="12" customWidth="1" style="58" min="4" max="4"/>
    <col width="12" customWidth="1" style="58" min="5" max="5"/>
    <col width="12" customWidth="1" style="58" min="6" max="6"/>
    <col width="12" customWidth="1" style="58" min="7" max="7"/>
    <col width="12" customWidth="1" style="58" min="8" max="8"/>
    <col width="12" customWidth="1" style="58" min="9" max="9"/>
    <col width="12" customWidth="1" style="58" min="10" max="10"/>
    <col width="12" customWidth="1" style="58" min="11" max="11"/>
    <col width="14" customWidth="1" style="58" min="12" max="12"/>
  </cols>
  <sheetData>
    <row r="2" ht="28" customHeight="1" s="58">
      <c r="B2" s="145" t="inlineStr">
        <is>
          <t>EXECUTIVE DASHBOARD</t>
        </is>
      </c>
    </row>
    <row r="4">
      <c r="B4" s="146" t="inlineStr">
        <is>
          <t>Revenue YTD</t>
        </is>
      </c>
      <c r="E4" s="146" t="inlineStr">
        <is>
          <t>Net Profit YTD</t>
        </is>
      </c>
      <c r="H4" s="146" t="inlineStr">
        <is>
          <t>Cash Balance</t>
        </is>
      </c>
      <c r="K4" s="146" t="inlineStr">
        <is>
          <t>Net Margin</t>
        </is>
      </c>
    </row>
    <row r="5">
      <c r="B5" s="148">
        <f>SUM('4. Fin Planning P&amp;L'!E5:E56)</f>
        <v/>
      </c>
      <c r="E5" s="148">
        <f>SUM('4. Fin Planning P&amp;L'!M5:M56)</f>
        <v/>
      </c>
      <c r="H5" s="148">
        <f>INDEX('5. Fin Planning Cash Flow'!$H:$H, MATCH("ENDING BALANCE", '5. Fin Planning Cash Flow'!$B:$B,0))</f>
        <v/>
      </c>
      <c r="K5" s="149">
        <f>IF(SUM('4. Fin Planning P&amp;L'!E5:E56)=0,0,SUM('4. Fin Planning P&amp;L'!M5:M56)/SUM('4. Fin Planning P&amp;L'!E5:E56))</f>
        <v/>
      </c>
    </row>
    <row r="7">
      <c r="B7" s="135" t="inlineStr">
        <is>
          <t>Inventory Pipeline</t>
        </is>
      </c>
      <c r="E7" s="135" t="inlineStr">
        <is>
          <t>Current Inventory</t>
        </is>
      </c>
    </row>
    <row r="8">
      <c r="B8" s="150" t="inlineStr">
        <is>
          <t>In Production</t>
        </is>
      </c>
      <c r="C8" s="151">
        <f>SUMIFS('2. Ops Planning'!$C:$C,'2. Ops Planning'!$Y:$Y,"Production")</f>
        <v/>
      </c>
      <c r="E8" s="150" t="inlineStr">
        <is>
          <t>6 Pack</t>
        </is>
      </c>
      <c r="F8" s="151">
        <f>LOOKUP(2,1/('3. Sales Planning'!$A$6:$A$200&lt;&gt;""),'3. Sales Planning'!$H$6:$H$200)</f>
        <v/>
      </c>
    </row>
    <row r="9">
      <c r="B9" s="150" t="inlineStr">
        <is>
          <t>In Transit</t>
        </is>
      </c>
      <c r="C9" s="151">
        <f>SUMIFS('2. Ops Planning'!$C:$C,'2. Ops Planning'!$Y:$Y,"In Transit")</f>
        <v/>
      </c>
      <c r="E9" s="150" t="inlineStr">
        <is>
          <t>12 Pack</t>
        </is>
      </c>
      <c r="F9" s="151">
        <f>LOOKUP(2,1/('3. Sales Planning'!$A$6:$A$200&lt;&gt;""),'3. Sales Planning'!$N$6:$N$200)</f>
        <v/>
      </c>
    </row>
    <row r="10">
      <c r="B10" s="150" t="inlineStr">
        <is>
          <t>Arrived</t>
        </is>
      </c>
      <c r="C10" s="151">
        <f>SUMIFS('2. Ops Planning'!$C:$C,'2. Ops Planning'!$Y:$Y,"Arrived")</f>
        <v/>
      </c>
      <c r="E10" s="150" t="inlineStr">
        <is>
          <t>1 Pack</t>
        </is>
      </c>
      <c r="F10" s="151">
        <f>LOOKUP(2,1/('3. Sales Planning'!$A$6:$A$200&lt;&gt;""),'3. Sales Planning'!$T$6:$T$200)</f>
        <v/>
      </c>
    </row>
    <row r="11">
      <c r="B11" s="150" t="inlineStr">
        <is>
          <t>Total Pipeline</t>
        </is>
      </c>
      <c r="C11" s="151">
        <f>SUM(C8:C10)</f>
        <v/>
      </c>
      <c r="E11" s="150" t="inlineStr">
        <is>
          <t>3 Pack</t>
        </is>
      </c>
      <c r="F11" s="151">
        <f>LOOKUP(2,1/('3. Sales Planning'!$A$6:$A$200&lt;&gt;""),'3. Sales Planning'!$Z$6:$Z$200)</f>
        <v/>
      </c>
    </row>
    <row r="24">
      <c r="B24" s="135" t="inlineStr">
        <is>
          <t>Pipeline Mix</t>
        </is>
      </c>
      <c r="C24" s="136" t="inlineStr">
        <is>
          <t>Units</t>
        </is>
      </c>
      <c r="E24" s="135" t="inlineStr">
        <is>
          <t>Inventory by SKU</t>
        </is>
      </c>
      <c r="F24" s="136" t="inlineStr">
        <is>
          <t>Units</t>
        </is>
      </c>
    </row>
    <row r="25">
      <c r="B25" s="150" t="inlineStr">
        <is>
          <t>In Production</t>
        </is>
      </c>
      <c r="C25" s="151">
        <f>C6</f>
        <v/>
      </c>
      <c r="E25" s="150" t="inlineStr">
        <is>
          <t>6 Pack</t>
        </is>
      </c>
      <c r="F25" s="151">
        <f>F6</f>
        <v/>
      </c>
    </row>
    <row r="26">
      <c r="B26" s="150" t="inlineStr">
        <is>
          <t>In Transit</t>
        </is>
      </c>
      <c r="C26" s="151">
        <f>C7</f>
        <v/>
      </c>
      <c r="E26" s="150" t="inlineStr">
        <is>
          <t>12 Pack</t>
        </is>
      </c>
      <c r="F26" s="151">
        <f>F7</f>
        <v/>
      </c>
    </row>
    <row r="27">
      <c r="B27" s="150" t="inlineStr">
        <is>
          <t>Arrived</t>
        </is>
      </c>
      <c r="C27" s="151">
        <f>C8</f>
        <v/>
      </c>
      <c r="E27" s="150" t="inlineStr">
        <is>
          <t>1 Pack</t>
        </is>
      </c>
      <c r="F27" s="151">
        <f>F8</f>
        <v/>
      </c>
    </row>
    <row r="28">
      <c r="E28" s="150" t="inlineStr">
        <is>
          <t>3 Pack</t>
        </is>
      </c>
      <c r="F28" s="151">
        <f>F9</f>
        <v/>
      </c>
    </row>
  </sheetData>
  <mergeCells count="1">
    <mergeCell ref="B2:K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2025-09-15T05:35:04Z</dcterms:created>
  <dcterms:modified xmlns:dcterms="http://purl.org/dc/terms/" xmlns:xsi="http://www.w3.org/2001/XMLSchema-instance" xsi:type="dcterms:W3CDTF">2025-09-20T06:03:25Z</dcterms:modified>
  <cp:revision>0</cp:revision>
</cp:coreProperties>
</file>