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5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6.xml" ContentType="application/vnd.openxmlformats-officedocument.themeOverrid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0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oal\Desktop\OnFin\19032020\"/>
    </mc:Choice>
  </mc:AlternateContent>
  <xr:revisionPtr revIDLastSave="0" documentId="13_ncr:1_{FF830235-C8D7-40B8-A525-CB2F963D1DE1}" xr6:coauthVersionLast="45" xr6:coauthVersionMax="45" xr10:uidLastSave="{00000000-0000-0000-0000-000000000000}"/>
  <bookViews>
    <workbookView xWindow="-108" yWindow="-108" windowWidth="23256" windowHeight="12576" tabRatio="805" firstSheet="5" activeTab="11" xr2:uid="{00000000-000D-0000-FFFF-FFFF00000000}"/>
  </bookViews>
  <sheets>
    <sheet name="Client Input" sheetId="32" r:id="rId1"/>
    <sheet name="Budget" sheetId="40" r:id="rId2"/>
    <sheet name="Progress" sheetId="41" r:id="rId3"/>
    <sheet name="BP VS. P" sheetId="43" r:id="rId4"/>
    <sheet name="Input" sheetId="8" r:id="rId5"/>
    <sheet name="Ratios" sheetId="13" r:id="rId6"/>
    <sheet name="Cash Flow" sheetId="35" r:id="rId7"/>
    <sheet name="I.S. Sensitivity" sheetId="36" r:id="rId8"/>
    <sheet name="Client Dashboard" sheetId="34" r:id="rId9"/>
    <sheet name="Growth Rate" sheetId="37" r:id="rId10"/>
    <sheet name="Common Size" sheetId="38" r:id="rId11"/>
    <sheet name="Pricing" sheetId="39" r:id="rId12"/>
    <sheet name="Data Needed" sheetId="33" r:id="rId13"/>
    <sheet name="Liquidity " sheetId="30" r:id="rId14"/>
    <sheet name="Sales Chart" sheetId="15" r:id="rId15"/>
    <sheet name="O.P. Chart" sheetId="16" r:id="rId16"/>
    <sheet name="F.S. Chart" sheetId="17" r:id="rId17"/>
    <sheet name="Profit Chart" sheetId="18" r:id="rId18"/>
    <sheet name="Profit M Chart" sheetId="19" r:id="rId19"/>
    <sheet name="EBITDA Chart" sheetId="20" r:id="rId20"/>
    <sheet name="F. A. Chart" sheetId="22" r:id="rId21"/>
    <sheet name="Debt Chart" sheetId="21" r:id="rId22"/>
    <sheet name="DCF" sheetId="23" r:id="rId23"/>
    <sheet name="Multiples" sheetId="24" r:id="rId24"/>
    <sheet name="Currences" sheetId="42" r:id="rId25"/>
    <sheet name="Stock" sheetId="25" state="hidden" r:id="rId26"/>
    <sheet name="Shareholders" sheetId="26" state="hidden" r:id="rId27"/>
    <sheet name="Breakdowns" sheetId="14" state="hidden" r:id="rId28"/>
    <sheet name="Sheet1" sheetId="31" state="hidden" r:id="rId29"/>
    <sheet name="LTD Runoff" sheetId="29" state="hidden" r:id="rId30"/>
    <sheet name="BM Scoring sheet" sheetId="2" state="veryHidden" r:id="rId31"/>
  </sheets>
  <externalReferences>
    <externalReference r:id="rId32"/>
  </externalReferences>
  <definedNames>
    <definedName name="\A" localSheetId="29">#REF!</definedName>
    <definedName name="\A">#REF!</definedName>
    <definedName name="\B" localSheetId="29">#REF!</definedName>
    <definedName name="\B">#REF!</definedName>
    <definedName name="\C" localSheetId="29">#REF!</definedName>
    <definedName name="\C">#REF!</definedName>
    <definedName name="\D" localSheetId="29">#REF!</definedName>
    <definedName name="\D">#REF!</definedName>
    <definedName name="\E" localSheetId="29">#REF!</definedName>
    <definedName name="\E">#REF!</definedName>
    <definedName name="\F" localSheetId="29">#REF!</definedName>
    <definedName name="\F">#REF!</definedName>
    <definedName name="\H" localSheetId="29">#REF!</definedName>
    <definedName name="\H">#REF!</definedName>
    <definedName name="\I" localSheetId="29">#REF!</definedName>
    <definedName name="\I">#REF!</definedName>
    <definedName name="\J" localSheetId="29">#REF!</definedName>
    <definedName name="\J">#REF!</definedName>
    <definedName name="\K" localSheetId="29">#REF!</definedName>
    <definedName name="\K">#REF!</definedName>
    <definedName name="\L" localSheetId="29">#REF!</definedName>
    <definedName name="\L">#REF!</definedName>
    <definedName name="\M" localSheetId="29">#REF!</definedName>
    <definedName name="\M">#REF!</definedName>
    <definedName name="\P" localSheetId="29">#REF!</definedName>
    <definedName name="\P">#REF!</definedName>
    <definedName name="\Q" localSheetId="29">#REF!</definedName>
    <definedName name="\Q">#REF!</definedName>
    <definedName name="\R" localSheetId="29">#REF!</definedName>
    <definedName name="\R">#REF!</definedName>
    <definedName name="\S" localSheetId="29">#REF!</definedName>
    <definedName name="\S">#REF!</definedName>
    <definedName name="\T" localSheetId="29">#REF!</definedName>
    <definedName name="\T">#REF!</definedName>
    <definedName name="\V" localSheetId="29">#REF!</definedName>
    <definedName name="\V">#REF!</definedName>
    <definedName name="_12A_SEG" localSheetId="29">'[1]Inc Stat Proj'!#REF!</definedName>
    <definedName name="_12A_SEG">'[1]Inc Stat Proj'!#REF!</definedName>
    <definedName name="_17MKT_REL">#REF!</definedName>
    <definedName name="_27P_COV" localSheetId="29">[1]Spreads!#REF!</definedName>
    <definedName name="_27P_COV">[1]Spreads!#REF!</definedName>
    <definedName name="_29P_SEG" localSheetId="29">'[1]Inc Stat Proj'!#REF!</definedName>
    <definedName name="_29P_SEG">'[1]Inc Stat Proj'!#REF!</definedName>
    <definedName name="Buyer">#REF!</definedName>
    <definedName name="Buyer_Share_Price">#REF!</definedName>
    <definedName name="Buyer_Shares">#REF!</definedName>
    <definedName name="Buyer_Tax_Rate">#REF!</definedName>
    <definedName name="Cash_Interest">#REF!</definedName>
    <definedName name="Cash_Pct">#REF!</definedName>
    <definedName name="Cash_Used">#REF!</definedName>
    <definedName name="CF" localSheetId="29">'[1]Valuation-DCF'!#REF!</definedName>
    <definedName name="CF">'[1]Valuation-DCF'!#REF!</definedName>
    <definedName name="DEBT" localSheetId="29">'LTD Runoff'!#REF!</definedName>
    <definedName name="DEBT">#REF!</definedName>
    <definedName name="Debt_Interest">#REF!</definedName>
    <definedName name="Debt_Issued">#REF!</definedName>
    <definedName name="Debt_Pct">#REF!</definedName>
    <definedName name="DIRECTORY" localSheetId="29">[1]Spreads!#REF!</definedName>
    <definedName name="DIRECTORY">[1]Spreads!#REF!</definedName>
    <definedName name="kxajwdghi">#REF!</definedName>
    <definedName name="LEASE" localSheetId="29">'LTD Runoff'!$A$52</definedName>
    <definedName name="LEASE">#REF!</definedName>
    <definedName name="MARKET1">#REF!</definedName>
    <definedName name="MARKET2">#REF!</definedName>
    <definedName name="MARKET3">#REF!</definedName>
    <definedName name="MARKET4">#REF!</definedName>
    <definedName name="Per_Share_Price">#REF!</definedName>
    <definedName name="_xlnm.Print_Area" localSheetId="29">'LTD Runoff'!$A$1:$N$107</definedName>
    <definedName name="Purchase_Price">#REF!</definedName>
    <definedName name="RUNOFF1" localSheetId="29">'LTD Runoff'!$B$2:$M$35</definedName>
    <definedName name="RUNOFF1">#REF!</definedName>
    <definedName name="RUNOFF2" localSheetId="29">'LTD Runoff'!$B$36:$M$74</definedName>
    <definedName name="RUNOFF2">#REF!</definedName>
    <definedName name="RUNOFF3" localSheetId="29">'LTD Runoff'!$B$75:$M$105</definedName>
    <definedName name="RUNOFF3">#REF!</definedName>
    <definedName name="Seller">#REF!</definedName>
    <definedName name="Seller_Share_Price">#REF!</definedName>
    <definedName name="Seller_Shares">#REF!</definedName>
    <definedName name="Seller_Tax_Rate">#REF!</definedName>
    <definedName name="SENS" localSheetId="29">#REF!</definedName>
    <definedName name="SENS">#REF!</definedName>
    <definedName name="Shares_Issued">#REF!</definedName>
    <definedName name="Stock_Pct">#REF!</definedName>
    <definedName name="SUMMARY">#REF!</definedName>
    <definedName name="SUMREP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3" l="1"/>
  <c r="E4" i="43"/>
  <c r="D39" i="13" l="1"/>
  <c r="E39" i="13"/>
  <c r="F39" i="13"/>
  <c r="G39" i="13"/>
  <c r="H39" i="13"/>
  <c r="I39" i="13"/>
  <c r="G5" i="40" l="1"/>
  <c r="E2" i="43" l="1"/>
  <c r="G94" i="32"/>
  <c r="F94" i="32"/>
  <c r="E94" i="32"/>
  <c r="E33" i="32" s="1"/>
  <c r="G33" i="32"/>
  <c r="F33" i="32"/>
  <c r="D33" i="32"/>
  <c r="C33" i="32"/>
  <c r="E259" i="8"/>
  <c r="G4" i="40"/>
  <c r="G3" i="40"/>
  <c r="B48" i="34" l="1"/>
  <c r="B47" i="34"/>
  <c r="B46" i="34"/>
  <c r="B45" i="34"/>
  <c r="B44" i="34"/>
  <c r="B41" i="34"/>
  <c r="B40" i="34"/>
  <c r="B39" i="34"/>
  <c r="C20" i="34"/>
  <c r="H35" i="41" l="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U70" i="41"/>
  <c r="V70" i="41"/>
  <c r="W70" i="41"/>
  <c r="X70" i="41"/>
  <c r="Y70" i="41"/>
  <c r="Z70" i="41"/>
  <c r="AA70" i="41"/>
  <c r="AB70" i="41"/>
  <c r="AC70" i="41"/>
  <c r="AD70" i="41"/>
  <c r="AE70" i="41"/>
  <c r="AF70" i="41"/>
  <c r="AG70" i="41"/>
  <c r="AH70" i="41"/>
  <c r="AI70" i="41"/>
  <c r="AJ70" i="41"/>
  <c r="AK70" i="41"/>
  <c r="AL70" i="41"/>
  <c r="AM70" i="41"/>
  <c r="AN70" i="41"/>
  <c r="AO70" i="41"/>
  <c r="AP70" i="41"/>
  <c r="AQ70" i="41"/>
  <c r="AR70" i="41"/>
  <c r="AS70" i="41"/>
  <c r="AT70" i="41"/>
  <c r="AU70" i="41"/>
  <c r="AV70" i="41"/>
  <c r="AW70" i="41"/>
  <c r="AX70" i="41"/>
  <c r="AY70" i="41"/>
  <c r="AZ70" i="41"/>
  <c r="BA70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AQ13" i="41"/>
  <c r="AR13" i="41"/>
  <c r="AS13" i="41"/>
  <c r="AT13" i="41"/>
  <c r="AU13" i="41"/>
  <c r="AV13" i="41"/>
  <c r="AW13" i="41"/>
  <c r="AX13" i="41"/>
  <c r="AY13" i="41"/>
  <c r="AZ13" i="41"/>
  <c r="BA13" i="41"/>
  <c r="C13" i="41"/>
  <c r="D13" i="41"/>
  <c r="E13" i="41"/>
  <c r="F13" i="41"/>
  <c r="G13" i="41"/>
  <c r="B13" i="41"/>
  <c r="G70" i="41"/>
  <c r="F70" i="41"/>
  <c r="E70" i="41"/>
  <c r="D70" i="41"/>
  <c r="C70" i="41"/>
  <c r="B70" i="41"/>
  <c r="G35" i="41"/>
  <c r="F35" i="41"/>
  <c r="E35" i="41"/>
  <c r="D35" i="41"/>
  <c r="C35" i="41"/>
  <c r="B35" i="41"/>
  <c r="B103" i="41" s="1"/>
  <c r="B105" i="41" l="1"/>
  <c r="C98" i="41"/>
  <c r="D98" i="41" s="1"/>
  <c r="E98" i="41" s="1"/>
  <c r="F98" i="41" s="1"/>
  <c r="G98" i="41" s="1"/>
  <c r="G103" i="41" l="1"/>
  <c r="G105" i="41" s="1"/>
  <c r="H98" i="41"/>
  <c r="F103" i="41"/>
  <c r="F105" i="41" s="1"/>
  <c r="D103" i="41"/>
  <c r="D105" i="41" s="1"/>
  <c r="E103" i="41"/>
  <c r="E105" i="41" s="1"/>
  <c r="C103" i="41"/>
  <c r="C105" i="41" s="1"/>
  <c r="B46" i="39"/>
  <c r="C40" i="39"/>
  <c r="C39" i="39"/>
  <c r="C41" i="39" s="1"/>
  <c r="B41" i="39" s="1"/>
  <c r="B42" i="39" s="1"/>
  <c r="C15" i="39"/>
  <c r="C12" i="39"/>
  <c r="C14" i="39" s="1"/>
  <c r="C19" i="39" s="1"/>
  <c r="C27" i="39" s="1"/>
  <c r="C9" i="39"/>
  <c r="I98" i="41" l="1"/>
  <c r="H103" i="41"/>
  <c r="H105" i="41" s="1"/>
  <c r="C28" i="39"/>
  <c r="C29" i="39" s="1"/>
  <c r="C31" i="39" s="1"/>
  <c r="J98" i="41" l="1"/>
  <c r="I103" i="41"/>
  <c r="I105" i="41" s="1"/>
  <c r="K98" i="41" l="1"/>
  <c r="J103" i="41"/>
  <c r="J105" i="41" s="1"/>
  <c r="C5" i="37"/>
  <c r="D5" i="37"/>
  <c r="E5" i="37"/>
  <c r="F5" i="37"/>
  <c r="B5" i="37"/>
  <c r="E111" i="13"/>
  <c r="F111" i="13"/>
  <c r="G111" i="13"/>
  <c r="H111" i="13"/>
  <c r="I111" i="13"/>
  <c r="D111" i="13"/>
  <c r="E109" i="13"/>
  <c r="H109" i="13"/>
  <c r="C102" i="32"/>
  <c r="D102" i="32"/>
  <c r="F109" i="13" s="1"/>
  <c r="E102" i="32"/>
  <c r="G109" i="13" s="1"/>
  <c r="F102" i="32"/>
  <c r="G102" i="32"/>
  <c r="I109" i="13" s="1"/>
  <c r="B102" i="32"/>
  <c r="D109" i="13" s="1"/>
  <c r="L98" i="41" l="1"/>
  <c r="K103" i="41"/>
  <c r="K105" i="41" s="1"/>
  <c r="E3" i="36"/>
  <c r="E5" i="36"/>
  <c r="E4" i="36"/>
  <c r="M98" i="41" l="1"/>
  <c r="L103" i="41"/>
  <c r="L105" i="41" s="1"/>
  <c r="B2" i="33"/>
  <c r="C38" i="13"/>
  <c r="H87" i="8"/>
  <c r="N98" i="41" l="1"/>
  <c r="M103" i="41"/>
  <c r="M105" i="41" s="1"/>
  <c r="F193" i="8"/>
  <c r="G193" i="8"/>
  <c r="H193" i="8"/>
  <c r="I193" i="8"/>
  <c r="J193" i="8"/>
  <c r="F195" i="8"/>
  <c r="G195" i="8"/>
  <c r="H195" i="8"/>
  <c r="I195" i="8"/>
  <c r="J195" i="8"/>
  <c r="F197" i="8"/>
  <c r="G197" i="8"/>
  <c r="H197" i="8"/>
  <c r="I197" i="8"/>
  <c r="J197" i="8"/>
  <c r="F199" i="8"/>
  <c r="G199" i="8"/>
  <c r="H199" i="8"/>
  <c r="I199" i="8"/>
  <c r="J199" i="8"/>
  <c r="F201" i="8"/>
  <c r="G201" i="8"/>
  <c r="H201" i="8"/>
  <c r="I201" i="8"/>
  <c r="J201" i="8"/>
  <c r="F203" i="8"/>
  <c r="G203" i="8"/>
  <c r="H203" i="8"/>
  <c r="I203" i="8"/>
  <c r="J203" i="8"/>
  <c r="F205" i="8"/>
  <c r="G205" i="8"/>
  <c r="H205" i="8"/>
  <c r="I205" i="8"/>
  <c r="J205" i="8"/>
  <c r="F207" i="8"/>
  <c r="G207" i="8"/>
  <c r="H207" i="8"/>
  <c r="I207" i="8"/>
  <c r="J207" i="8"/>
  <c r="F209" i="8"/>
  <c r="G209" i="8"/>
  <c r="H209" i="8"/>
  <c r="I209" i="8"/>
  <c r="J209" i="8"/>
  <c r="F211" i="8"/>
  <c r="G211" i="8"/>
  <c r="H211" i="8"/>
  <c r="I211" i="8"/>
  <c r="J211" i="8"/>
  <c r="F213" i="8"/>
  <c r="G213" i="8"/>
  <c r="H213" i="8"/>
  <c r="I213" i="8"/>
  <c r="J213" i="8"/>
  <c r="F215" i="8"/>
  <c r="G215" i="8"/>
  <c r="H215" i="8"/>
  <c r="I215" i="8"/>
  <c r="J215" i="8"/>
  <c r="F221" i="8"/>
  <c r="G221" i="8"/>
  <c r="H221" i="8"/>
  <c r="I221" i="8"/>
  <c r="J221" i="8"/>
  <c r="F223" i="8"/>
  <c r="G223" i="8"/>
  <c r="H223" i="8"/>
  <c r="I223" i="8"/>
  <c r="J223" i="8"/>
  <c r="F225" i="8"/>
  <c r="G225" i="8"/>
  <c r="H225" i="8"/>
  <c r="I225" i="8"/>
  <c r="J225" i="8"/>
  <c r="F231" i="8"/>
  <c r="G231" i="8"/>
  <c r="H231" i="8"/>
  <c r="I231" i="8"/>
  <c r="J231" i="8"/>
  <c r="F233" i="8"/>
  <c r="G233" i="8"/>
  <c r="H233" i="8"/>
  <c r="I233" i="8"/>
  <c r="J233" i="8"/>
  <c r="F235" i="8"/>
  <c r="G235" i="8"/>
  <c r="H235" i="8"/>
  <c r="I235" i="8"/>
  <c r="J235" i="8"/>
  <c r="F237" i="8"/>
  <c r="G237" i="8"/>
  <c r="H237" i="8"/>
  <c r="I237" i="8"/>
  <c r="J237" i="8"/>
  <c r="F239" i="8"/>
  <c r="G239" i="8"/>
  <c r="H239" i="8"/>
  <c r="I239" i="8"/>
  <c r="J239" i="8"/>
  <c r="F245" i="8"/>
  <c r="G245" i="8"/>
  <c r="H245" i="8"/>
  <c r="I245" i="8"/>
  <c r="J245" i="8"/>
  <c r="F247" i="8"/>
  <c r="G247" i="8"/>
  <c r="H247" i="8"/>
  <c r="I247" i="8"/>
  <c r="J247" i="8"/>
  <c r="F251" i="8"/>
  <c r="G251" i="8"/>
  <c r="H251" i="8"/>
  <c r="I251" i="8"/>
  <c r="J251" i="8"/>
  <c r="F249" i="8"/>
  <c r="G249" i="8"/>
  <c r="H249" i="8"/>
  <c r="I249" i="8"/>
  <c r="J249" i="8"/>
  <c r="F265" i="8"/>
  <c r="G265" i="8"/>
  <c r="H265" i="8"/>
  <c r="I265" i="8"/>
  <c r="J265" i="8"/>
  <c r="F267" i="8"/>
  <c r="G267" i="8"/>
  <c r="H267" i="8"/>
  <c r="I267" i="8"/>
  <c r="J267" i="8"/>
  <c r="F269" i="8"/>
  <c r="G269" i="8"/>
  <c r="H269" i="8"/>
  <c r="I269" i="8"/>
  <c r="J269" i="8"/>
  <c r="F271" i="8"/>
  <c r="G271" i="8"/>
  <c r="H271" i="8"/>
  <c r="I271" i="8"/>
  <c r="J271" i="8"/>
  <c r="F35" i="8"/>
  <c r="G35" i="8"/>
  <c r="H35" i="8"/>
  <c r="I35" i="8"/>
  <c r="J35" i="8"/>
  <c r="E35" i="8"/>
  <c r="N103" i="41" l="1"/>
  <c r="N105" i="41" s="1"/>
  <c r="O98" i="41"/>
  <c r="E36" i="8"/>
  <c r="C36" i="8" s="1"/>
  <c r="J36" i="8"/>
  <c r="F7" i="37" s="1"/>
  <c r="H36" i="8"/>
  <c r="D7" i="37" s="1"/>
  <c r="G36" i="8"/>
  <c r="C7" i="37" s="1"/>
  <c r="F13" i="36"/>
  <c r="E13" i="36" s="1"/>
  <c r="F36" i="8"/>
  <c r="B7" i="37" s="1"/>
  <c r="I91" i="13"/>
  <c r="I63" i="13" s="1"/>
  <c r="I36" i="8"/>
  <c r="E7" i="37" s="1"/>
  <c r="F31" i="8"/>
  <c r="G31" i="8"/>
  <c r="H31" i="8"/>
  <c r="I31" i="8"/>
  <c r="J31" i="8"/>
  <c r="F10" i="36" s="1"/>
  <c r="E10" i="36" s="1"/>
  <c r="E31" i="8"/>
  <c r="D253" i="8"/>
  <c r="E271" i="8"/>
  <c r="E269" i="8"/>
  <c r="E267" i="8"/>
  <c r="E265" i="8"/>
  <c r="E251" i="8"/>
  <c r="E249" i="8"/>
  <c r="E247" i="8"/>
  <c r="E245" i="8"/>
  <c r="E239" i="8"/>
  <c r="E237" i="8"/>
  <c r="E235" i="8"/>
  <c r="E233" i="8"/>
  <c r="E231" i="8"/>
  <c r="E225" i="8"/>
  <c r="E223" i="8"/>
  <c r="E221" i="8"/>
  <c r="E215" i="8"/>
  <c r="E213" i="8"/>
  <c r="E211" i="8"/>
  <c r="E209" i="8"/>
  <c r="E207" i="8"/>
  <c r="E205" i="8"/>
  <c r="E203" i="8"/>
  <c r="E201" i="8"/>
  <c r="E199" i="8"/>
  <c r="E197" i="8"/>
  <c r="E195" i="8"/>
  <c r="E193" i="8"/>
  <c r="F191" i="8"/>
  <c r="E91" i="13" s="1"/>
  <c r="E63" i="13" s="1"/>
  <c r="G191" i="8"/>
  <c r="F91" i="13" s="1"/>
  <c r="F63" i="13" s="1"/>
  <c r="H191" i="8"/>
  <c r="G91" i="13" s="1"/>
  <c r="G63" i="13" s="1"/>
  <c r="I191" i="8"/>
  <c r="H91" i="13" s="1"/>
  <c r="H63" i="13" s="1"/>
  <c r="J191" i="8"/>
  <c r="E191" i="8"/>
  <c r="F172" i="8"/>
  <c r="G172" i="8"/>
  <c r="H172" i="8"/>
  <c r="I172" i="8"/>
  <c r="J172" i="8"/>
  <c r="F170" i="8"/>
  <c r="G170" i="8"/>
  <c r="H170" i="8"/>
  <c r="I170" i="8"/>
  <c r="J170" i="8"/>
  <c r="F168" i="8"/>
  <c r="G168" i="8"/>
  <c r="H168" i="8"/>
  <c r="I168" i="8"/>
  <c r="J168" i="8"/>
  <c r="F165" i="8"/>
  <c r="G165" i="8"/>
  <c r="H165" i="8"/>
  <c r="I165" i="8"/>
  <c r="J165" i="8"/>
  <c r="F163" i="8"/>
  <c r="G163" i="8"/>
  <c r="H163" i="8"/>
  <c r="I163" i="8"/>
  <c r="J163" i="8"/>
  <c r="F161" i="8"/>
  <c r="G161" i="8"/>
  <c r="H161" i="8"/>
  <c r="I161" i="8"/>
  <c r="J161" i="8"/>
  <c r="F159" i="8"/>
  <c r="G159" i="8"/>
  <c r="H159" i="8"/>
  <c r="I159" i="8"/>
  <c r="J159" i="8"/>
  <c r="F157" i="8"/>
  <c r="G157" i="8"/>
  <c r="H157" i="8"/>
  <c r="I157" i="8"/>
  <c r="J157" i="8"/>
  <c r="F151" i="8"/>
  <c r="G151" i="8"/>
  <c r="H151" i="8"/>
  <c r="I151" i="8"/>
  <c r="J151" i="8"/>
  <c r="F147" i="8"/>
  <c r="G147" i="8"/>
  <c r="H147" i="8"/>
  <c r="I147" i="8"/>
  <c r="J147" i="8"/>
  <c r="F145" i="8"/>
  <c r="G145" i="8"/>
  <c r="H145" i="8"/>
  <c r="I145" i="8"/>
  <c r="J145" i="8"/>
  <c r="F143" i="8"/>
  <c r="G143" i="8"/>
  <c r="H143" i="8"/>
  <c r="I143" i="8"/>
  <c r="J143" i="8"/>
  <c r="F141" i="8"/>
  <c r="G141" i="8"/>
  <c r="H141" i="8"/>
  <c r="I141" i="8"/>
  <c r="J141" i="8"/>
  <c r="F135" i="8"/>
  <c r="G135" i="8"/>
  <c r="H135" i="8"/>
  <c r="I135" i="8"/>
  <c r="J135" i="8"/>
  <c r="F133" i="8"/>
  <c r="G133" i="8"/>
  <c r="H133" i="8"/>
  <c r="I133" i="8"/>
  <c r="J133" i="8"/>
  <c r="F131" i="8"/>
  <c r="G131" i="8"/>
  <c r="H131" i="8"/>
  <c r="I131" i="8"/>
  <c r="J131" i="8"/>
  <c r="F129" i="8"/>
  <c r="G129" i="8"/>
  <c r="H129" i="8"/>
  <c r="I129" i="8"/>
  <c r="J129" i="8"/>
  <c r="F123" i="8"/>
  <c r="G123" i="8"/>
  <c r="H123" i="8"/>
  <c r="I123" i="8"/>
  <c r="J123" i="8"/>
  <c r="F121" i="8"/>
  <c r="G121" i="8"/>
  <c r="H121" i="8"/>
  <c r="I121" i="8"/>
  <c r="J121" i="8"/>
  <c r="F119" i="8"/>
  <c r="G119" i="8"/>
  <c r="H119" i="8"/>
  <c r="I119" i="8"/>
  <c r="J119" i="8"/>
  <c r="F117" i="8"/>
  <c r="G117" i="8"/>
  <c r="H117" i="8"/>
  <c r="I117" i="8"/>
  <c r="J117" i="8"/>
  <c r="F115" i="8"/>
  <c r="G115" i="8"/>
  <c r="H115" i="8"/>
  <c r="I115" i="8"/>
  <c r="J115" i="8"/>
  <c r="F113" i="8"/>
  <c r="G113" i="8"/>
  <c r="H113" i="8"/>
  <c r="I113" i="8"/>
  <c r="J113" i="8"/>
  <c r="F107" i="8"/>
  <c r="G107" i="8"/>
  <c r="H107" i="8"/>
  <c r="I107" i="8"/>
  <c r="J107" i="8"/>
  <c r="F105" i="8"/>
  <c r="G105" i="8"/>
  <c r="H105" i="8"/>
  <c r="I105" i="8"/>
  <c r="J105" i="8"/>
  <c r="F102" i="8"/>
  <c r="G102" i="8"/>
  <c r="H102" i="8"/>
  <c r="I102" i="8"/>
  <c r="J102" i="8"/>
  <c r="F100" i="8"/>
  <c r="G100" i="8"/>
  <c r="H100" i="8"/>
  <c r="I100" i="8"/>
  <c r="J100" i="8"/>
  <c r="F98" i="8"/>
  <c r="G98" i="8"/>
  <c r="H98" i="8"/>
  <c r="I98" i="8"/>
  <c r="J98" i="8"/>
  <c r="E172" i="8"/>
  <c r="E170" i="8"/>
  <c r="E168" i="8"/>
  <c r="E165" i="8"/>
  <c r="E163" i="8"/>
  <c r="E161" i="8"/>
  <c r="E159" i="8"/>
  <c r="E157" i="8"/>
  <c r="E151" i="8"/>
  <c r="E147" i="8"/>
  <c r="E145" i="8"/>
  <c r="E143" i="8"/>
  <c r="E141" i="8"/>
  <c r="E135" i="8"/>
  <c r="E133" i="8"/>
  <c r="E131" i="8"/>
  <c r="E129" i="8"/>
  <c r="E123" i="8"/>
  <c r="E121" i="8"/>
  <c r="E119" i="8"/>
  <c r="E117" i="8"/>
  <c r="E115" i="8"/>
  <c r="E113" i="8"/>
  <c r="E107" i="8"/>
  <c r="E105" i="8"/>
  <c r="E102" i="8"/>
  <c r="E100" i="8"/>
  <c r="E98" i="8"/>
  <c r="F87" i="8"/>
  <c r="G87" i="8"/>
  <c r="I87" i="8"/>
  <c r="J87" i="8"/>
  <c r="E87" i="8"/>
  <c r="F85" i="8"/>
  <c r="G85" i="8"/>
  <c r="H85" i="8"/>
  <c r="I85" i="8"/>
  <c r="J85" i="8"/>
  <c r="E85" i="8"/>
  <c r="F83" i="8"/>
  <c r="G83" i="8"/>
  <c r="H83" i="8"/>
  <c r="I83" i="8"/>
  <c r="J83" i="8"/>
  <c r="E83" i="8"/>
  <c r="C30" i="32"/>
  <c r="D30" i="32"/>
  <c r="E30" i="32"/>
  <c r="F30" i="32"/>
  <c r="G30" i="32"/>
  <c r="B30" i="32"/>
  <c r="F78" i="8"/>
  <c r="G78" i="8"/>
  <c r="H78" i="8"/>
  <c r="I78" i="8"/>
  <c r="J78" i="8"/>
  <c r="F34" i="36" s="1"/>
  <c r="E34" i="36" s="1"/>
  <c r="E78" i="8"/>
  <c r="F76" i="8"/>
  <c r="G76" i="8"/>
  <c r="H76" i="8"/>
  <c r="I76" i="8"/>
  <c r="J76" i="8"/>
  <c r="E76" i="8"/>
  <c r="F74" i="8"/>
  <c r="G74" i="8"/>
  <c r="H74" i="8"/>
  <c r="I74" i="8"/>
  <c r="J74" i="8"/>
  <c r="E74" i="8"/>
  <c r="F72" i="8"/>
  <c r="G72" i="8"/>
  <c r="H72" i="8"/>
  <c r="I72" i="8"/>
  <c r="J72" i="8"/>
  <c r="E72" i="8"/>
  <c r="F65" i="8"/>
  <c r="G65" i="8"/>
  <c r="H65" i="8"/>
  <c r="I65" i="8"/>
  <c r="J65" i="8"/>
  <c r="E65" i="8"/>
  <c r="F58" i="8"/>
  <c r="G58" i="8"/>
  <c r="H58" i="8"/>
  <c r="I58" i="8"/>
  <c r="J58" i="8"/>
  <c r="E58" i="8"/>
  <c r="F56" i="8"/>
  <c r="G56" i="8"/>
  <c r="H56" i="8"/>
  <c r="I56" i="8"/>
  <c r="J56" i="8"/>
  <c r="E56" i="8"/>
  <c r="F54" i="8"/>
  <c r="G54" i="8"/>
  <c r="H54" i="8"/>
  <c r="I54" i="8"/>
  <c r="J54" i="8"/>
  <c r="E54" i="8"/>
  <c r="F52" i="8"/>
  <c r="G52" i="8"/>
  <c r="H52" i="8"/>
  <c r="I52" i="8"/>
  <c r="J52" i="8"/>
  <c r="E52" i="8"/>
  <c r="F50" i="8"/>
  <c r="G50" i="8"/>
  <c r="H50" i="8"/>
  <c r="I50" i="8"/>
  <c r="J50" i="8"/>
  <c r="E50" i="8"/>
  <c r="F48" i="8"/>
  <c r="G48" i="8"/>
  <c r="H48" i="8"/>
  <c r="I48" i="8"/>
  <c r="J48" i="8"/>
  <c r="E48" i="8"/>
  <c r="F46" i="8"/>
  <c r="G46" i="8"/>
  <c r="H46" i="8"/>
  <c r="I46" i="8"/>
  <c r="J46" i="8"/>
  <c r="E46" i="8"/>
  <c r="F41" i="8"/>
  <c r="G41" i="8"/>
  <c r="H41" i="8"/>
  <c r="E11" i="38" s="1"/>
  <c r="I41" i="8"/>
  <c r="J41" i="8"/>
  <c r="E41" i="8"/>
  <c r="F39" i="8"/>
  <c r="G39" i="8"/>
  <c r="H39" i="8"/>
  <c r="I39" i="8"/>
  <c r="J39" i="8"/>
  <c r="E39" i="8"/>
  <c r="F37" i="8"/>
  <c r="G37" i="8"/>
  <c r="H37" i="8"/>
  <c r="I37" i="8"/>
  <c r="J37" i="8"/>
  <c r="E37" i="8"/>
  <c r="F33" i="8"/>
  <c r="G33" i="8"/>
  <c r="H33" i="8"/>
  <c r="I33" i="8"/>
  <c r="F7" i="38" s="1"/>
  <c r="J33" i="8"/>
  <c r="E33" i="8"/>
  <c r="F26" i="8"/>
  <c r="G26" i="8"/>
  <c r="H26" i="8"/>
  <c r="E4" i="38" s="1"/>
  <c r="I26" i="8"/>
  <c r="J26" i="8"/>
  <c r="E26" i="8"/>
  <c r="F24" i="8"/>
  <c r="G24" i="8"/>
  <c r="H24" i="8"/>
  <c r="I24" i="8"/>
  <c r="J24" i="8"/>
  <c r="E24" i="8"/>
  <c r="F22" i="8"/>
  <c r="C8" i="38" s="1"/>
  <c r="G22" i="8"/>
  <c r="D8" i="38" s="1"/>
  <c r="H22" i="8"/>
  <c r="I22" i="8"/>
  <c r="J22" i="8"/>
  <c r="E22" i="8"/>
  <c r="B13" i="38" l="1"/>
  <c r="C4" i="38"/>
  <c r="B7" i="38"/>
  <c r="C3" i="38"/>
  <c r="C10" i="38"/>
  <c r="C15" i="38"/>
  <c r="C19" i="38"/>
  <c r="C27" i="38"/>
  <c r="C11" i="38"/>
  <c r="B11" i="38"/>
  <c r="F13" i="38"/>
  <c r="B16" i="38"/>
  <c r="F17" i="38"/>
  <c r="B22" i="38"/>
  <c r="F25" i="38"/>
  <c r="B31" i="38"/>
  <c r="O103" i="41"/>
  <c r="O105" i="41" s="1"/>
  <c r="P98" i="41"/>
  <c r="C7" i="38"/>
  <c r="C13" i="38"/>
  <c r="E16" i="38"/>
  <c r="C17" i="38"/>
  <c r="C25" i="38"/>
  <c r="G30" i="38"/>
  <c r="G10" i="38"/>
  <c r="F14" i="36"/>
  <c r="E14" i="36" s="1"/>
  <c r="G15" i="38"/>
  <c r="F20" i="36"/>
  <c r="E20" i="36" s="1"/>
  <c r="E22" i="38"/>
  <c r="D31" i="38"/>
  <c r="B5" i="38"/>
  <c r="B2" i="38"/>
  <c r="B23" i="38"/>
  <c r="F3" i="38"/>
  <c r="D4" i="38"/>
  <c r="B9" i="38"/>
  <c r="F10" i="38"/>
  <c r="D11" i="38"/>
  <c r="B14" i="38"/>
  <c r="F15" i="38"/>
  <c r="D16" i="38"/>
  <c r="B18" i="38"/>
  <c r="F19" i="38"/>
  <c r="D22" i="38"/>
  <c r="B26" i="38"/>
  <c r="F27" i="38"/>
  <c r="B29" i="38"/>
  <c r="F30" i="38"/>
  <c r="C31" i="38"/>
  <c r="E291" i="8"/>
  <c r="G19" i="38"/>
  <c r="F24" i="36"/>
  <c r="E24" i="36" s="1"/>
  <c r="G27" i="38"/>
  <c r="F33" i="36"/>
  <c r="E33" i="36" s="1"/>
  <c r="G5" i="38"/>
  <c r="G2" i="38"/>
  <c r="G23" i="38"/>
  <c r="F3" i="36"/>
  <c r="E3" i="38"/>
  <c r="G9" i="38"/>
  <c r="F12" i="36"/>
  <c r="E12" i="36" s="1"/>
  <c r="E10" i="38"/>
  <c r="G14" i="38"/>
  <c r="F19" i="36"/>
  <c r="E19" i="36" s="1"/>
  <c r="E15" i="38"/>
  <c r="C16" i="38"/>
  <c r="G18" i="38"/>
  <c r="F23" i="36"/>
  <c r="E23" i="36" s="1"/>
  <c r="E19" i="38"/>
  <c r="C22" i="38"/>
  <c r="G26" i="38"/>
  <c r="F32" i="36"/>
  <c r="E32" i="36" s="1"/>
  <c r="E27" i="38"/>
  <c r="G29" i="38"/>
  <c r="E30" i="38"/>
  <c r="E38" i="13"/>
  <c r="F5" i="38"/>
  <c r="F23" i="38"/>
  <c r="F2" i="38"/>
  <c r="D3" i="38"/>
  <c r="F9" i="38"/>
  <c r="D10" i="38"/>
  <c r="F14" i="38"/>
  <c r="D15" i="38"/>
  <c r="B17" i="38"/>
  <c r="E326" i="8"/>
  <c r="F18" i="38"/>
  <c r="D19" i="38"/>
  <c r="B25" i="38"/>
  <c r="F26" i="38"/>
  <c r="D27" i="38"/>
  <c r="F29" i="38"/>
  <c r="D30" i="38"/>
  <c r="I38" i="13"/>
  <c r="G3" i="38"/>
  <c r="F6" i="36"/>
  <c r="E6" i="36" s="1"/>
  <c r="E5" i="38"/>
  <c r="E23" i="38"/>
  <c r="E2" i="38"/>
  <c r="E31" i="38"/>
  <c r="G7" i="38"/>
  <c r="F11" i="36"/>
  <c r="E11" i="36" s="1"/>
  <c r="E9" i="38"/>
  <c r="G13" i="38"/>
  <c r="F18" i="36"/>
  <c r="E18" i="36" s="1"/>
  <c r="E14" i="38"/>
  <c r="G17" i="38"/>
  <c r="F22" i="36"/>
  <c r="E22" i="36" s="1"/>
  <c r="E18" i="38"/>
  <c r="G25" i="38"/>
  <c r="F31" i="36"/>
  <c r="E31" i="36" s="1"/>
  <c r="E26" i="38"/>
  <c r="E29" i="38"/>
  <c r="H257" i="8"/>
  <c r="C30" i="38"/>
  <c r="D38" i="13"/>
  <c r="D18" i="38"/>
  <c r="F38" i="13"/>
  <c r="C29" i="34" s="1"/>
  <c r="D23" i="38"/>
  <c r="D2" i="38"/>
  <c r="D5" i="38"/>
  <c r="D9" i="38"/>
  <c r="D14" i="38"/>
  <c r="C23" i="38"/>
  <c r="C2" i="38"/>
  <c r="C5" i="38"/>
  <c r="E7" i="38"/>
  <c r="G11" i="38"/>
  <c r="F15" i="36"/>
  <c r="E15" i="36" s="1"/>
  <c r="E17" i="38"/>
  <c r="G22" i="38"/>
  <c r="C29" i="38"/>
  <c r="E321" i="8"/>
  <c r="B4" i="38"/>
  <c r="E287" i="8"/>
  <c r="D26" i="38"/>
  <c r="D29" i="38"/>
  <c r="G4" i="38"/>
  <c r="F7" i="36"/>
  <c r="E7" i="36" s="1"/>
  <c r="C9" i="38"/>
  <c r="E13" i="38"/>
  <c r="C14" i="38"/>
  <c r="G16" i="38"/>
  <c r="F21" i="36"/>
  <c r="E21" i="36" s="1"/>
  <c r="C18" i="38"/>
  <c r="E25" i="38"/>
  <c r="C26" i="38"/>
  <c r="G31" i="38"/>
  <c r="B3" i="38"/>
  <c r="F4" i="38"/>
  <c r="D7" i="38"/>
  <c r="B10" i="38"/>
  <c r="E288" i="8"/>
  <c r="F11" i="38"/>
  <c r="D13" i="38"/>
  <c r="B15" i="38"/>
  <c r="F16" i="38"/>
  <c r="D17" i="38"/>
  <c r="B19" i="38"/>
  <c r="F22" i="38"/>
  <c r="D25" i="38"/>
  <c r="B27" i="38"/>
  <c r="B30" i="38"/>
  <c r="F31" i="38"/>
  <c r="G8" i="38"/>
  <c r="G38" i="13"/>
  <c r="E8" i="38"/>
  <c r="H38" i="13"/>
  <c r="F8" i="38"/>
  <c r="B8" i="38"/>
  <c r="D91" i="13"/>
  <c r="D63" i="13" s="1"/>
  <c r="C65" i="32"/>
  <c r="D65" i="32"/>
  <c r="E65" i="32"/>
  <c r="F65" i="32"/>
  <c r="G65" i="32"/>
  <c r="B65" i="32"/>
  <c r="C93" i="32"/>
  <c r="B8" i="32"/>
  <c r="C8" i="32" s="1"/>
  <c r="D8" i="32" s="1"/>
  <c r="E8" i="32" s="1"/>
  <c r="F8" i="32" s="1"/>
  <c r="G8" i="32" s="1"/>
  <c r="D10" i="8"/>
  <c r="D11" i="8"/>
  <c r="E18" i="8" s="1"/>
  <c r="D9" i="8"/>
  <c r="D8" i="8"/>
  <c r="D6" i="8"/>
  <c r="Q98" i="41" l="1"/>
  <c r="P103" i="41"/>
  <c r="P105" i="41" s="1"/>
  <c r="E9" i="36"/>
  <c r="E17" i="36" s="1"/>
  <c r="E26" i="36" s="1"/>
  <c r="F18" i="8"/>
  <c r="D5" i="13"/>
  <c r="D72" i="13" s="1"/>
  <c r="E19" i="8"/>
  <c r="B1" i="38" s="1"/>
  <c r="B98" i="32"/>
  <c r="B100" i="32" s="1"/>
  <c r="D93" i="32"/>
  <c r="C98" i="32"/>
  <c r="C100" i="32" s="1"/>
  <c r="G342" i="8"/>
  <c r="G350" i="8" s="1"/>
  <c r="F342" i="8"/>
  <c r="F350" i="8" s="1"/>
  <c r="E342" i="8"/>
  <c r="E350" i="8" s="1"/>
  <c r="G341" i="8"/>
  <c r="G345" i="8" s="1"/>
  <c r="F341" i="8"/>
  <c r="F345" i="8" s="1"/>
  <c r="E341" i="8"/>
  <c r="E345" i="8" s="1"/>
  <c r="E338" i="8"/>
  <c r="G337" i="8"/>
  <c r="F337" i="8"/>
  <c r="E337" i="8"/>
  <c r="G336" i="8"/>
  <c r="F336" i="8"/>
  <c r="E336" i="8"/>
  <c r="G335" i="8"/>
  <c r="F335" i="8"/>
  <c r="E335" i="8"/>
  <c r="G334" i="8"/>
  <c r="F334" i="8"/>
  <c r="E334" i="8"/>
  <c r="G333" i="8"/>
  <c r="F333" i="8"/>
  <c r="E333" i="8"/>
  <c r="G332" i="8"/>
  <c r="F332" i="8"/>
  <c r="E332" i="8"/>
  <c r="G331" i="8"/>
  <c r="F331" i="8"/>
  <c r="E331" i="8"/>
  <c r="G328" i="8"/>
  <c r="F328" i="8"/>
  <c r="E328" i="8"/>
  <c r="G327" i="8"/>
  <c r="F327" i="8"/>
  <c r="E327" i="8"/>
  <c r="G326" i="8"/>
  <c r="F326" i="8"/>
  <c r="G325" i="8"/>
  <c r="G39" i="35" s="1"/>
  <c r="F325" i="8"/>
  <c r="E39" i="35" s="1"/>
  <c r="E325" i="8"/>
  <c r="G324" i="8"/>
  <c r="G38" i="35" s="1"/>
  <c r="F324" i="8"/>
  <c r="E38" i="35" s="1"/>
  <c r="E324" i="8"/>
  <c r="G322" i="8"/>
  <c r="F322" i="8"/>
  <c r="E322" i="8"/>
  <c r="G321" i="8"/>
  <c r="F321" i="8"/>
  <c r="G316" i="8"/>
  <c r="H30" i="35" s="1"/>
  <c r="F316" i="8"/>
  <c r="F30" i="35" s="1"/>
  <c r="E316" i="8"/>
  <c r="G314" i="8"/>
  <c r="H28" i="35" s="1"/>
  <c r="F314" i="8"/>
  <c r="F28" i="35" s="1"/>
  <c r="E314" i="8"/>
  <c r="G313" i="8"/>
  <c r="H27" i="35" s="1"/>
  <c r="F313" i="8"/>
  <c r="F27" i="35" s="1"/>
  <c r="E313" i="8"/>
  <c r="G312" i="8"/>
  <c r="H26" i="35" s="1"/>
  <c r="F312" i="8"/>
  <c r="F26" i="35" s="1"/>
  <c r="E312" i="8"/>
  <c r="G311" i="8"/>
  <c r="H25" i="35" s="1"/>
  <c r="F311" i="8"/>
  <c r="F25" i="35" s="1"/>
  <c r="E311" i="8"/>
  <c r="G310" i="8"/>
  <c r="H24" i="35" s="1"/>
  <c r="F310" i="8"/>
  <c r="F24" i="35" s="1"/>
  <c r="E310" i="8"/>
  <c r="G307" i="8"/>
  <c r="F307" i="8"/>
  <c r="E307" i="8"/>
  <c r="G306" i="8"/>
  <c r="F306" i="8"/>
  <c r="E306" i="8"/>
  <c r="G305" i="8"/>
  <c r="F305" i="8"/>
  <c r="E305" i="8"/>
  <c r="G304" i="8"/>
  <c r="F304" i="8"/>
  <c r="E304" i="8"/>
  <c r="G301" i="8"/>
  <c r="F301" i="8"/>
  <c r="E301" i="8"/>
  <c r="G300" i="8"/>
  <c r="F300" i="8"/>
  <c r="E300" i="8"/>
  <c r="G299" i="8"/>
  <c r="F299" i="8"/>
  <c r="E299" i="8"/>
  <c r="G298" i="8"/>
  <c r="F298" i="8"/>
  <c r="E298" i="8"/>
  <c r="G297" i="8"/>
  <c r="F297" i="8"/>
  <c r="E297" i="8"/>
  <c r="G296" i="8"/>
  <c r="F296" i="8"/>
  <c r="E296" i="8"/>
  <c r="G291" i="8"/>
  <c r="H5" i="35" s="1"/>
  <c r="F291" i="8"/>
  <c r="F5" i="35" s="1"/>
  <c r="G288" i="8"/>
  <c r="F288" i="8"/>
  <c r="G287" i="8"/>
  <c r="F287" i="8"/>
  <c r="I287" i="8"/>
  <c r="J287" i="8"/>
  <c r="I288" i="8"/>
  <c r="J288" i="8"/>
  <c r="I291" i="8"/>
  <c r="L5" i="35" s="1"/>
  <c r="J291" i="8"/>
  <c r="N5" i="35" s="1"/>
  <c r="I296" i="8"/>
  <c r="J296" i="8"/>
  <c r="I297" i="8"/>
  <c r="J297" i="8"/>
  <c r="I298" i="8"/>
  <c r="J298" i="8"/>
  <c r="I299" i="8"/>
  <c r="J299" i="8"/>
  <c r="I300" i="8"/>
  <c r="J300" i="8"/>
  <c r="I301" i="8"/>
  <c r="J301" i="8"/>
  <c r="I304" i="8"/>
  <c r="J304" i="8"/>
  <c r="I305" i="8"/>
  <c r="J305" i="8"/>
  <c r="I306" i="8"/>
  <c r="J306" i="8"/>
  <c r="I307" i="8"/>
  <c r="J307" i="8"/>
  <c r="I310" i="8"/>
  <c r="L24" i="35" s="1"/>
  <c r="J310" i="8"/>
  <c r="N24" i="35" s="1"/>
  <c r="I311" i="8"/>
  <c r="L25" i="35" s="1"/>
  <c r="J311" i="8"/>
  <c r="N25" i="35" s="1"/>
  <c r="I312" i="8"/>
  <c r="L26" i="35" s="1"/>
  <c r="J312" i="8"/>
  <c r="N26" i="35" s="1"/>
  <c r="I313" i="8"/>
  <c r="L27" i="35" s="1"/>
  <c r="J313" i="8"/>
  <c r="N27" i="35" s="1"/>
  <c r="I314" i="8"/>
  <c r="L28" i="35" s="1"/>
  <c r="J314" i="8"/>
  <c r="N28" i="35" s="1"/>
  <c r="I316" i="8"/>
  <c r="L30" i="35" s="1"/>
  <c r="J316" i="8"/>
  <c r="N30" i="35" s="1"/>
  <c r="I321" i="8"/>
  <c r="J321" i="8"/>
  <c r="I322" i="8"/>
  <c r="J322" i="8"/>
  <c r="I324" i="8"/>
  <c r="K38" i="35" s="1"/>
  <c r="J324" i="8"/>
  <c r="M38" i="35" s="1"/>
  <c r="I325" i="8"/>
  <c r="K39" i="35" s="1"/>
  <c r="J325" i="8"/>
  <c r="M39" i="35" s="1"/>
  <c r="I326" i="8"/>
  <c r="J326" i="8"/>
  <c r="I327" i="8"/>
  <c r="J327" i="8"/>
  <c r="I328" i="8"/>
  <c r="J328" i="8"/>
  <c r="I331" i="8"/>
  <c r="J331" i="8"/>
  <c r="I332" i="8"/>
  <c r="J332" i="8"/>
  <c r="I333" i="8"/>
  <c r="J333" i="8"/>
  <c r="I334" i="8"/>
  <c r="J334" i="8"/>
  <c r="I335" i="8"/>
  <c r="J335" i="8"/>
  <c r="I336" i="8"/>
  <c r="J336" i="8"/>
  <c r="I337" i="8"/>
  <c r="J337" i="8"/>
  <c r="I341" i="8"/>
  <c r="J341" i="8"/>
  <c r="I342" i="8"/>
  <c r="J342" i="8"/>
  <c r="H287" i="8"/>
  <c r="H288" i="8"/>
  <c r="H291" i="8"/>
  <c r="J5" i="35" s="1"/>
  <c r="H296" i="8"/>
  <c r="H297" i="8"/>
  <c r="H298" i="8"/>
  <c r="H299" i="8"/>
  <c r="H300" i="8"/>
  <c r="H301" i="8"/>
  <c r="H304" i="8"/>
  <c r="H305" i="8"/>
  <c r="H306" i="8"/>
  <c r="H307" i="8"/>
  <c r="H310" i="8"/>
  <c r="J24" i="35" s="1"/>
  <c r="H311" i="8"/>
  <c r="J25" i="35" s="1"/>
  <c r="H312" i="8"/>
  <c r="J26" i="35" s="1"/>
  <c r="H313" i="8"/>
  <c r="J27" i="35" s="1"/>
  <c r="H314" i="8"/>
  <c r="J28" i="35" s="1"/>
  <c r="H316" i="8"/>
  <c r="J30" i="35" s="1"/>
  <c r="H321" i="8"/>
  <c r="H322" i="8"/>
  <c r="H324" i="8"/>
  <c r="I38" i="35" s="1"/>
  <c r="H325" i="8"/>
  <c r="I39" i="35" s="1"/>
  <c r="H326" i="8"/>
  <c r="H327" i="8"/>
  <c r="H328" i="8"/>
  <c r="H331" i="8"/>
  <c r="H332" i="8"/>
  <c r="H333" i="8"/>
  <c r="H334" i="8"/>
  <c r="H335" i="8"/>
  <c r="H336" i="8"/>
  <c r="H337" i="8"/>
  <c r="H341" i="8"/>
  <c r="H342" i="8"/>
  <c r="R98" i="41" l="1"/>
  <c r="Q103" i="41"/>
  <c r="Q105" i="41" s="1"/>
  <c r="M50" i="35"/>
  <c r="N50" i="35"/>
  <c r="N14" i="35"/>
  <c r="M14" i="35"/>
  <c r="J21" i="35"/>
  <c r="I21" i="35"/>
  <c r="L48" i="35"/>
  <c r="K48" i="35"/>
  <c r="I35" i="35"/>
  <c r="J35" i="35"/>
  <c r="I10" i="35"/>
  <c r="J10" i="35"/>
  <c r="N47" i="35"/>
  <c r="M47" i="35"/>
  <c r="M41" i="35"/>
  <c r="N41" i="35"/>
  <c r="M21" i="35"/>
  <c r="N21" i="35"/>
  <c r="N11" i="35"/>
  <c r="M11" i="35"/>
  <c r="G12" i="35"/>
  <c r="H12" i="35"/>
  <c r="F15" i="35"/>
  <c r="E15" i="35"/>
  <c r="F35" i="35"/>
  <c r="E35" i="35"/>
  <c r="H46" i="35"/>
  <c r="G46" i="35"/>
  <c r="F49" i="35"/>
  <c r="E49" i="35"/>
  <c r="J45" i="35"/>
  <c r="I45" i="35"/>
  <c r="I19" i="35"/>
  <c r="J19" i="35"/>
  <c r="L51" i="35"/>
  <c r="K51" i="35"/>
  <c r="L47" i="35"/>
  <c r="K47" i="35"/>
  <c r="L41" i="35"/>
  <c r="K41" i="35"/>
  <c r="K36" i="35"/>
  <c r="L36" i="35"/>
  <c r="L21" i="35"/>
  <c r="K21" i="35"/>
  <c r="L15" i="35"/>
  <c r="K15" i="35"/>
  <c r="L11" i="35"/>
  <c r="K11" i="35"/>
  <c r="E10" i="35"/>
  <c r="F10" i="35"/>
  <c r="H15" i="35"/>
  <c r="G15" i="35"/>
  <c r="E20" i="35"/>
  <c r="F20" i="35"/>
  <c r="H35" i="35"/>
  <c r="G35" i="35"/>
  <c r="F42" i="35"/>
  <c r="E42" i="35"/>
  <c r="G49" i="35"/>
  <c r="H49" i="35"/>
  <c r="M20" i="35"/>
  <c r="N20" i="35"/>
  <c r="F13" i="35"/>
  <c r="E13" i="35"/>
  <c r="F47" i="35"/>
  <c r="E47" i="35"/>
  <c r="J51" i="35"/>
  <c r="I51" i="35"/>
  <c r="L50" i="35"/>
  <c r="K50" i="35"/>
  <c r="L10" i="35"/>
  <c r="K10" i="35"/>
  <c r="E18" i="35"/>
  <c r="F18" i="35"/>
  <c r="E36" i="35"/>
  <c r="F36" i="35"/>
  <c r="E40" i="35"/>
  <c r="F40" i="35"/>
  <c r="G47" i="35"/>
  <c r="H47" i="35"/>
  <c r="E50" i="35"/>
  <c r="F50" i="35"/>
  <c r="J42" i="35"/>
  <c r="I42" i="35"/>
  <c r="M40" i="35"/>
  <c r="N40" i="35"/>
  <c r="M10" i="35"/>
  <c r="N10" i="35"/>
  <c r="G20" i="35"/>
  <c r="H20" i="35"/>
  <c r="L46" i="35"/>
  <c r="K46" i="35"/>
  <c r="L20" i="35"/>
  <c r="K20" i="35"/>
  <c r="J50" i="35"/>
  <c r="I50" i="35"/>
  <c r="N49" i="35"/>
  <c r="M49" i="35"/>
  <c r="M19" i="35"/>
  <c r="N19" i="35"/>
  <c r="G18" i="35"/>
  <c r="H18" i="35"/>
  <c r="G36" i="35"/>
  <c r="H36" i="35"/>
  <c r="G40" i="35"/>
  <c r="H40" i="35"/>
  <c r="E45" i="35"/>
  <c r="F45" i="35"/>
  <c r="G50" i="35"/>
  <c r="H50" i="35"/>
  <c r="H10" i="35"/>
  <c r="G10" i="35"/>
  <c r="K35" i="35"/>
  <c r="L35" i="35"/>
  <c r="G13" i="35"/>
  <c r="H13" i="35"/>
  <c r="J40" i="35"/>
  <c r="I40" i="35"/>
  <c r="I14" i="35"/>
  <c r="J14" i="35"/>
  <c r="M45" i="35"/>
  <c r="N45" i="35"/>
  <c r="N13" i="35"/>
  <c r="M13" i="35"/>
  <c r="F21" i="35"/>
  <c r="E21" i="35"/>
  <c r="I13" i="35"/>
  <c r="J13" i="35"/>
  <c r="K49" i="35"/>
  <c r="L49" i="35"/>
  <c r="K45" i="35"/>
  <c r="L45" i="35"/>
  <c r="K19" i="35"/>
  <c r="L19" i="35"/>
  <c r="K13" i="35"/>
  <c r="L13" i="35"/>
  <c r="G11" i="35"/>
  <c r="H11" i="35"/>
  <c r="E14" i="35"/>
  <c r="F14" i="35"/>
  <c r="H21" i="35"/>
  <c r="G21" i="35"/>
  <c r="G45" i="35"/>
  <c r="H45" i="35"/>
  <c r="F48" i="35"/>
  <c r="E48" i="35"/>
  <c r="I18" i="35"/>
  <c r="J18" i="35"/>
  <c r="N35" i="35"/>
  <c r="M35" i="35"/>
  <c r="H42" i="35"/>
  <c r="G42" i="35"/>
  <c r="J41" i="35"/>
  <c r="I41" i="35"/>
  <c r="J15" i="35"/>
  <c r="I15" i="35"/>
  <c r="L40" i="35"/>
  <c r="K40" i="35"/>
  <c r="L14" i="35"/>
  <c r="K14" i="35"/>
  <c r="F11" i="35"/>
  <c r="E11" i="35"/>
  <c r="I49" i="35"/>
  <c r="J49" i="35"/>
  <c r="J48" i="35"/>
  <c r="I48" i="35"/>
  <c r="J12" i="35"/>
  <c r="I12" i="35"/>
  <c r="N48" i="35"/>
  <c r="M48" i="35"/>
  <c r="M42" i="35"/>
  <c r="N42" i="35"/>
  <c r="N18" i="35"/>
  <c r="M18" i="35"/>
  <c r="N12" i="35"/>
  <c r="M12" i="35"/>
  <c r="G14" i="35"/>
  <c r="H14" i="35"/>
  <c r="E19" i="35"/>
  <c r="F19" i="35"/>
  <c r="F41" i="35"/>
  <c r="E41" i="35"/>
  <c r="H48" i="35"/>
  <c r="G48" i="35"/>
  <c r="F51" i="35"/>
  <c r="E51" i="35"/>
  <c r="M46" i="35"/>
  <c r="N46" i="35"/>
  <c r="I36" i="35"/>
  <c r="J36" i="35"/>
  <c r="J11" i="35"/>
  <c r="I11" i="35"/>
  <c r="L42" i="35"/>
  <c r="K42" i="35"/>
  <c r="K18" i="35"/>
  <c r="L18" i="35"/>
  <c r="F12" i="35"/>
  <c r="E12" i="35"/>
  <c r="G19" i="35"/>
  <c r="H19" i="35"/>
  <c r="H41" i="35"/>
  <c r="G41" i="35"/>
  <c r="F46" i="35"/>
  <c r="E46" i="35"/>
  <c r="H51" i="35"/>
  <c r="G51" i="35"/>
  <c r="G18" i="8"/>
  <c r="B1" i="37"/>
  <c r="E5" i="13"/>
  <c r="E72" i="13" s="1"/>
  <c r="F19" i="8"/>
  <c r="C1" i="38" s="1"/>
  <c r="E2" i="35"/>
  <c r="J47" i="35"/>
  <c r="I47" i="35"/>
  <c r="K12" i="35"/>
  <c r="L12" i="35"/>
  <c r="I46" i="35"/>
  <c r="J46" i="35"/>
  <c r="J20" i="35"/>
  <c r="I20" i="35"/>
  <c r="M51" i="35"/>
  <c r="N51" i="35"/>
  <c r="N36" i="35"/>
  <c r="M36" i="35"/>
  <c r="N15" i="35"/>
  <c r="M15" i="35"/>
  <c r="I315" i="8"/>
  <c r="I317" i="8" s="1"/>
  <c r="E93" i="32"/>
  <c r="D98" i="32"/>
  <c r="D100" i="32" s="1"/>
  <c r="H315" i="8"/>
  <c r="H317" i="8" s="1"/>
  <c r="J315" i="8"/>
  <c r="J317" i="8" s="1"/>
  <c r="G315" i="8"/>
  <c r="G317" i="8" s="1"/>
  <c r="F315" i="8"/>
  <c r="F317" i="8" s="1"/>
  <c r="E315" i="8"/>
  <c r="E317" i="8" s="1"/>
  <c r="E348" i="8" s="1"/>
  <c r="S98" i="41" l="1"/>
  <c r="R103" i="41"/>
  <c r="R105" i="41" s="1"/>
  <c r="H18" i="8"/>
  <c r="C1" i="37"/>
  <c r="G2" i="35"/>
  <c r="G19" i="8"/>
  <c r="D1" i="38" s="1"/>
  <c r="F5" i="13"/>
  <c r="F72" i="13" s="1"/>
  <c r="F93" i="32"/>
  <c r="E98" i="32"/>
  <c r="E100" i="32" s="1"/>
  <c r="B7" i="24"/>
  <c r="D17" i="24"/>
  <c r="G12" i="25"/>
  <c r="G11" i="25"/>
  <c r="G10" i="25"/>
  <c r="G9" i="25"/>
  <c r="G7" i="25"/>
  <c r="G6" i="25"/>
  <c r="G5" i="25"/>
  <c r="G4" i="25"/>
  <c r="T98" i="41" l="1"/>
  <c r="S103" i="41"/>
  <c r="S105" i="41" s="1"/>
  <c r="I18" i="8"/>
  <c r="D1" i="37"/>
  <c r="I2" i="35"/>
  <c r="H19" i="8"/>
  <c r="E1" i="38" s="1"/>
  <c r="G5" i="13"/>
  <c r="G72" i="13" s="1"/>
  <c r="F98" i="32"/>
  <c r="F100" i="32" s="1"/>
  <c r="G93" i="32"/>
  <c r="G98" i="32" s="1"/>
  <c r="G100" i="32" s="1"/>
  <c r="D25" i="24"/>
  <c r="B30" i="24" s="1"/>
  <c r="D26" i="24"/>
  <c r="U98" i="41" l="1"/>
  <c r="T103" i="41"/>
  <c r="T105" i="41" s="1"/>
  <c r="J18" i="8"/>
  <c r="K2" i="35"/>
  <c r="I19" i="8"/>
  <c r="F1" i="38" s="1"/>
  <c r="H5" i="13"/>
  <c r="H72" i="13" s="1"/>
  <c r="E1" i="37"/>
  <c r="D44" i="31"/>
  <c r="C43" i="31" s="1"/>
  <c r="D38" i="31"/>
  <c r="C35" i="31" s="1"/>
  <c r="C37" i="31"/>
  <c r="C36" i="31"/>
  <c r="C34" i="31"/>
  <c r="D28" i="31"/>
  <c r="D27" i="31"/>
  <c r="D26" i="31"/>
  <c r="D24" i="31"/>
  <c r="C21" i="31" s="1"/>
  <c r="C22" i="31"/>
  <c r="D18" i="31"/>
  <c r="C15" i="31" s="1"/>
  <c r="C17" i="31"/>
  <c r="C16" i="31"/>
  <c r="C10" i="31"/>
  <c r="E162" i="8"/>
  <c r="F162" i="8"/>
  <c r="B58" i="37" s="1"/>
  <c r="G162" i="8"/>
  <c r="C58" i="37" s="1"/>
  <c r="H162" i="8"/>
  <c r="D58" i="37" s="1"/>
  <c r="I162" i="8"/>
  <c r="E58" i="37" s="1"/>
  <c r="J162" i="8"/>
  <c r="F58" i="37" s="1"/>
  <c r="D30" i="31" l="1"/>
  <c r="C28" i="31" s="1"/>
  <c r="V98" i="41"/>
  <c r="U103" i="41"/>
  <c r="U105" i="41" s="1"/>
  <c r="F1" i="37"/>
  <c r="I5" i="13"/>
  <c r="I72" i="13" s="1"/>
  <c r="J19" i="8"/>
  <c r="G1" i="38" s="1"/>
  <c r="M2" i="35"/>
  <c r="C23" i="31"/>
  <c r="C40" i="31"/>
  <c r="C41" i="31"/>
  <c r="C20" i="31"/>
  <c r="C32" i="31"/>
  <c r="C42" i="31"/>
  <c r="C33" i="31"/>
  <c r="C29" i="31"/>
  <c r="C27" i="31"/>
  <c r="C26" i="31" l="1"/>
  <c r="W98" i="41"/>
  <c r="V103" i="41"/>
  <c r="V105" i="41" s="1"/>
  <c r="B22" i="23"/>
  <c r="X98" i="41" l="1"/>
  <c r="W103" i="41"/>
  <c r="W105" i="41" s="1"/>
  <c r="B25" i="24"/>
  <c r="Y98" i="41" l="1"/>
  <c r="X103" i="41"/>
  <c r="X105" i="41" s="1"/>
  <c r="B31" i="24"/>
  <c r="B9" i="24"/>
  <c r="D23" i="24"/>
  <c r="Z98" i="41" l="1"/>
  <c r="Y103" i="41"/>
  <c r="Y105" i="41" s="1"/>
  <c r="G8" i="25"/>
  <c r="D84" i="13"/>
  <c r="E84" i="13"/>
  <c r="F84" i="13"/>
  <c r="G84" i="13"/>
  <c r="H84" i="13"/>
  <c r="I84" i="13"/>
  <c r="C84" i="13"/>
  <c r="Z103" i="41" l="1"/>
  <c r="Z105" i="41" s="1"/>
  <c r="AA98" i="41"/>
  <c r="C91" i="13"/>
  <c r="E228" i="8"/>
  <c r="F228" i="8"/>
  <c r="G228" i="8"/>
  <c r="H228" i="8"/>
  <c r="I228" i="8"/>
  <c r="J228" i="8"/>
  <c r="D228" i="8"/>
  <c r="D3" i="29"/>
  <c r="D55" i="29" s="1"/>
  <c r="D76" i="29" s="1"/>
  <c r="D90" i="29" s="1"/>
  <c r="E3" i="29"/>
  <c r="E55" i="29" s="1"/>
  <c r="E76" i="29" s="1"/>
  <c r="E90" i="29" s="1"/>
  <c r="F3" i="29"/>
  <c r="F55" i="29" s="1"/>
  <c r="F76" i="29" s="1"/>
  <c r="F90" i="29" s="1"/>
  <c r="G3" i="29"/>
  <c r="G55" i="29" s="1"/>
  <c r="G76" i="29" s="1"/>
  <c r="G90" i="29" s="1"/>
  <c r="H3" i="29"/>
  <c r="H55" i="29" s="1"/>
  <c r="H76" i="29" s="1"/>
  <c r="H90" i="29" s="1"/>
  <c r="C3" i="29"/>
  <c r="C55" i="29" s="1"/>
  <c r="C76" i="29" s="1"/>
  <c r="H102" i="29"/>
  <c r="G102" i="29"/>
  <c r="F102" i="29"/>
  <c r="E102" i="29"/>
  <c r="D102" i="29"/>
  <c r="D101" i="29"/>
  <c r="B101" i="29"/>
  <c r="H100" i="29"/>
  <c r="G100" i="29"/>
  <c r="F100" i="29"/>
  <c r="B100" i="29"/>
  <c r="B99" i="29"/>
  <c r="B98" i="29"/>
  <c r="B97" i="29"/>
  <c r="D96" i="29"/>
  <c r="B96" i="29"/>
  <c r="B95" i="29"/>
  <c r="B94" i="29"/>
  <c r="B93" i="29"/>
  <c r="B92" i="29"/>
  <c r="B91" i="29"/>
  <c r="C81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D66" i="29"/>
  <c r="C72" i="29" s="1"/>
  <c r="E100" i="29"/>
  <c r="D100" i="29"/>
  <c r="H58" i="29"/>
  <c r="H79" i="29" s="1"/>
  <c r="G58" i="29"/>
  <c r="G79" i="29" s="1"/>
  <c r="F58" i="29"/>
  <c r="F79" i="29" s="1"/>
  <c r="D50" i="29"/>
  <c r="E50" i="29" s="1"/>
  <c r="F50" i="29" s="1"/>
  <c r="G50" i="29" s="1"/>
  <c r="H50" i="29" s="1"/>
  <c r="D49" i="29"/>
  <c r="E49" i="29" s="1"/>
  <c r="E99" i="29" s="1"/>
  <c r="D45" i="29"/>
  <c r="E45" i="29" s="1"/>
  <c r="F45" i="29" s="1"/>
  <c r="G45" i="29" s="1"/>
  <c r="H45" i="29" s="1"/>
  <c r="D44" i="29"/>
  <c r="D40" i="29"/>
  <c r="E40" i="29" s="1"/>
  <c r="F40" i="29" s="1"/>
  <c r="G40" i="29" s="1"/>
  <c r="H40" i="29" s="1"/>
  <c r="D39" i="29"/>
  <c r="E33" i="29"/>
  <c r="F33" i="29" s="1"/>
  <c r="G33" i="29" s="1"/>
  <c r="H33" i="29" s="1"/>
  <c r="E32" i="29"/>
  <c r="D28" i="29"/>
  <c r="E28" i="29" s="1"/>
  <c r="F28" i="29" s="1"/>
  <c r="G28" i="29" s="1"/>
  <c r="H28" i="29" s="1"/>
  <c r="D27" i="29"/>
  <c r="E27" i="29" s="1"/>
  <c r="D23" i="29"/>
  <c r="E23" i="29" s="1"/>
  <c r="F23" i="29" s="1"/>
  <c r="G23" i="29" s="1"/>
  <c r="H23" i="29" s="1"/>
  <c r="D22" i="29"/>
  <c r="D94" i="29" s="1"/>
  <c r="D18" i="29"/>
  <c r="E18" i="29" s="1"/>
  <c r="F18" i="29" s="1"/>
  <c r="G18" i="29" s="1"/>
  <c r="H18" i="29" s="1"/>
  <c r="D17" i="29"/>
  <c r="D13" i="29"/>
  <c r="E13" i="29" s="1"/>
  <c r="F13" i="29" s="1"/>
  <c r="G13" i="29" s="1"/>
  <c r="H13" i="29" s="1"/>
  <c r="D12" i="29"/>
  <c r="D8" i="29"/>
  <c r="E8" i="29" s="1"/>
  <c r="F8" i="29" s="1"/>
  <c r="G8" i="29" s="1"/>
  <c r="H8" i="29" s="1"/>
  <c r="D7" i="29"/>
  <c r="AA103" i="41" l="1"/>
  <c r="AA105" i="41" s="1"/>
  <c r="AB98" i="41"/>
  <c r="D99" i="29"/>
  <c r="F49" i="29"/>
  <c r="F99" i="29" s="1"/>
  <c r="C84" i="29"/>
  <c r="E58" i="29"/>
  <c r="E79" i="29" s="1"/>
  <c r="D71" i="29"/>
  <c r="E66" i="29" s="1"/>
  <c r="E68" i="29" s="1"/>
  <c r="D58" i="29"/>
  <c r="D79" i="29" s="1"/>
  <c r="D95" i="29"/>
  <c r="D93" i="29"/>
  <c r="E17" i="29"/>
  <c r="D92" i="29"/>
  <c r="E12" i="29"/>
  <c r="D91" i="29"/>
  <c r="D80" i="29"/>
  <c r="F32" i="29"/>
  <c r="E96" i="29"/>
  <c r="E7" i="29"/>
  <c r="E95" i="29"/>
  <c r="F27" i="29"/>
  <c r="E44" i="29"/>
  <c r="D98" i="29"/>
  <c r="D81" i="29"/>
  <c r="E39" i="29"/>
  <c r="D97" i="29"/>
  <c r="E22" i="29"/>
  <c r="G49" i="29" l="1"/>
  <c r="AB103" i="41"/>
  <c r="AB105" i="41" s="1"/>
  <c r="AC98" i="41"/>
  <c r="D62" i="29"/>
  <c r="D82" i="29" s="1"/>
  <c r="E94" i="29"/>
  <c r="F22" i="29"/>
  <c r="E97" i="29"/>
  <c r="E81" i="29"/>
  <c r="F39" i="29"/>
  <c r="F96" i="29"/>
  <c r="G32" i="29"/>
  <c r="E101" i="29"/>
  <c r="E67" i="29"/>
  <c r="E71" i="29" s="1"/>
  <c r="F66" i="29" s="1"/>
  <c r="E98" i="29"/>
  <c r="F44" i="29"/>
  <c r="E91" i="29"/>
  <c r="E80" i="29"/>
  <c r="F7" i="29"/>
  <c r="D104" i="29"/>
  <c r="G99" i="29"/>
  <c r="H49" i="29"/>
  <c r="F95" i="29"/>
  <c r="G27" i="29"/>
  <c r="E92" i="29"/>
  <c r="F12" i="29"/>
  <c r="E93" i="29"/>
  <c r="F17" i="29"/>
  <c r="AC103" i="41" l="1"/>
  <c r="AC105" i="41" s="1"/>
  <c r="AD98" i="41"/>
  <c r="D84" i="29"/>
  <c r="E57" i="29"/>
  <c r="E62" i="29" s="1"/>
  <c r="F93" i="29"/>
  <c r="G17" i="29"/>
  <c r="G95" i="29"/>
  <c r="H27" i="29"/>
  <c r="F68" i="29"/>
  <c r="F81" i="29"/>
  <c r="G39" i="29"/>
  <c r="F97" i="29"/>
  <c r="E104" i="29"/>
  <c r="F92" i="29"/>
  <c r="G12" i="29"/>
  <c r="H99" i="29"/>
  <c r="F98" i="29"/>
  <c r="G44" i="29"/>
  <c r="H32" i="29"/>
  <c r="G96" i="29"/>
  <c r="F94" i="29"/>
  <c r="G22" i="29"/>
  <c r="F91" i="29"/>
  <c r="F80" i="29"/>
  <c r="G7" i="29"/>
  <c r="AE98" i="41" l="1"/>
  <c r="AD103" i="41"/>
  <c r="AD105" i="41" s="1"/>
  <c r="F57" i="29"/>
  <c r="F62" i="29" s="1"/>
  <c r="E82" i="29"/>
  <c r="H95" i="29"/>
  <c r="H96" i="29"/>
  <c r="F67" i="29"/>
  <c r="F71" i="29" s="1"/>
  <c r="G66" i="29" s="1"/>
  <c r="F101" i="29"/>
  <c r="F104" i="29" s="1"/>
  <c r="G94" i="29"/>
  <c r="H22" i="29"/>
  <c r="H44" i="29"/>
  <c r="G98" i="29"/>
  <c r="G92" i="29"/>
  <c r="H12" i="29"/>
  <c r="G81" i="29"/>
  <c r="G97" i="29"/>
  <c r="H39" i="29"/>
  <c r="G93" i="29"/>
  <c r="H17" i="29"/>
  <c r="G91" i="29"/>
  <c r="G80" i="29"/>
  <c r="H7" i="29"/>
  <c r="AE103" i="41" l="1"/>
  <c r="AE105" i="41" s="1"/>
  <c r="AF98" i="41"/>
  <c r="E84" i="29"/>
  <c r="F82" i="29"/>
  <c r="G57" i="29"/>
  <c r="G62" i="29" s="1"/>
  <c r="H98" i="29"/>
  <c r="G68" i="29"/>
  <c r="H80" i="29"/>
  <c r="H91" i="29"/>
  <c r="H92" i="29"/>
  <c r="H94" i="29"/>
  <c r="H93" i="29"/>
  <c r="H81" i="29"/>
  <c r="H97" i="29"/>
  <c r="AF103" i="41" l="1"/>
  <c r="AF105" i="41" s="1"/>
  <c r="AG98" i="41"/>
  <c r="G82" i="29"/>
  <c r="H57" i="29"/>
  <c r="H62" i="29" s="1"/>
  <c r="H82" i="29" s="1"/>
  <c r="F84" i="29"/>
  <c r="G67" i="29"/>
  <c r="G71" i="29" s="1"/>
  <c r="H66" i="29" s="1"/>
  <c r="G101" i="29"/>
  <c r="G104" i="29" s="1"/>
  <c r="AH98" i="41" l="1"/>
  <c r="AG103" i="41"/>
  <c r="AG105" i="41" s="1"/>
  <c r="H84" i="29"/>
  <c r="G84" i="29"/>
  <c r="H68" i="29"/>
  <c r="AH103" i="41" l="1"/>
  <c r="AH105" i="41" s="1"/>
  <c r="AI98" i="41"/>
  <c r="H67" i="29"/>
  <c r="H71" i="29" s="1"/>
  <c r="H101" i="29"/>
  <c r="H104" i="29" s="1"/>
  <c r="AJ98" i="41" l="1"/>
  <c r="AI103" i="41"/>
  <c r="AI105" i="41" s="1"/>
  <c r="E218" i="8"/>
  <c r="F218" i="8"/>
  <c r="D218" i="8"/>
  <c r="AK98" i="41" l="1"/>
  <c r="AJ103" i="41"/>
  <c r="AJ105" i="41" s="1"/>
  <c r="J3" i="24"/>
  <c r="J4" i="24"/>
  <c r="J19" i="23"/>
  <c r="J45" i="24"/>
  <c r="J35" i="24"/>
  <c r="J21" i="24"/>
  <c r="B35" i="23"/>
  <c r="E5" i="23"/>
  <c r="F5" i="23"/>
  <c r="G5" i="23"/>
  <c r="H5" i="23"/>
  <c r="D5" i="23"/>
  <c r="AL98" i="41" l="1"/>
  <c r="AK103" i="41"/>
  <c r="AK105" i="41" s="1"/>
  <c r="J5" i="24"/>
  <c r="D242" i="8"/>
  <c r="E242" i="8"/>
  <c r="F242" i="8"/>
  <c r="E175" i="8"/>
  <c r="F175" i="8"/>
  <c r="G175" i="8"/>
  <c r="H175" i="8"/>
  <c r="I175" i="8"/>
  <c r="J175" i="8"/>
  <c r="D175" i="8"/>
  <c r="E149" i="8"/>
  <c r="F149" i="8"/>
  <c r="G149" i="8"/>
  <c r="H149" i="8"/>
  <c r="I149" i="8"/>
  <c r="J149" i="8"/>
  <c r="D149" i="8"/>
  <c r="E126" i="8"/>
  <c r="F126" i="8"/>
  <c r="G126" i="8"/>
  <c r="H126" i="8"/>
  <c r="I126" i="8"/>
  <c r="J126" i="8"/>
  <c r="D126" i="8"/>
  <c r="C37" i="13" s="1"/>
  <c r="E110" i="8"/>
  <c r="F110" i="8"/>
  <c r="G110" i="8"/>
  <c r="H110" i="8"/>
  <c r="I110" i="8"/>
  <c r="J110" i="8"/>
  <c r="D110" i="8"/>
  <c r="C36" i="13" s="1"/>
  <c r="E63" i="8"/>
  <c r="F63" i="8"/>
  <c r="G63" i="8"/>
  <c r="H63" i="8"/>
  <c r="I63" i="8"/>
  <c r="J63" i="8"/>
  <c r="D63" i="8"/>
  <c r="E29" i="8"/>
  <c r="F29" i="8"/>
  <c r="D29" i="8"/>
  <c r="D44" i="8" s="1"/>
  <c r="D61" i="8" s="1"/>
  <c r="B42" i="23"/>
  <c r="B44" i="23" s="1"/>
  <c r="B45" i="23" s="1"/>
  <c r="B37" i="23"/>
  <c r="B32" i="23"/>
  <c r="AL103" i="41" l="1"/>
  <c r="AL105" i="41" s="1"/>
  <c r="AM98" i="41"/>
  <c r="G154" i="8"/>
  <c r="G178" i="8" s="1"/>
  <c r="G36" i="13"/>
  <c r="F36" i="13"/>
  <c r="C27" i="34" s="1"/>
  <c r="E154" i="8"/>
  <c r="G295" i="8"/>
  <c r="F37" i="13"/>
  <c r="C28" i="34" s="1"/>
  <c r="H295" i="8"/>
  <c r="G37" i="13"/>
  <c r="F21" i="38"/>
  <c r="E21" i="38"/>
  <c r="E36" i="13"/>
  <c r="D36" i="13"/>
  <c r="I294" i="8"/>
  <c r="I303" i="8" s="1"/>
  <c r="H36" i="13"/>
  <c r="F154" i="8"/>
  <c r="D21" i="38"/>
  <c r="F44" i="8"/>
  <c r="C12" i="38" s="1"/>
  <c r="C6" i="38"/>
  <c r="J154" i="8"/>
  <c r="D7" i="23" s="1"/>
  <c r="G21" i="38"/>
  <c r="F28" i="36"/>
  <c r="D37" i="13"/>
  <c r="C21" i="38"/>
  <c r="I37" i="13"/>
  <c r="I154" i="8"/>
  <c r="E37" i="13"/>
  <c r="B21" i="38"/>
  <c r="E44" i="8"/>
  <c r="B12" i="38" s="1"/>
  <c r="B6" i="38"/>
  <c r="J294" i="8"/>
  <c r="I36" i="13"/>
  <c r="I295" i="8"/>
  <c r="H37" i="13"/>
  <c r="H154" i="8"/>
  <c r="H178" i="8" s="1"/>
  <c r="G323" i="8"/>
  <c r="G320" i="8"/>
  <c r="H34" i="35" s="1"/>
  <c r="F295" i="8"/>
  <c r="D138" i="8"/>
  <c r="J295" i="8"/>
  <c r="H323" i="8"/>
  <c r="F323" i="8"/>
  <c r="G294" i="8"/>
  <c r="E295" i="8"/>
  <c r="J323" i="8"/>
  <c r="E323" i="8"/>
  <c r="H138" i="8"/>
  <c r="H294" i="8"/>
  <c r="F138" i="8"/>
  <c r="F294" i="8"/>
  <c r="E138" i="8"/>
  <c r="E294" i="8"/>
  <c r="F61" i="8"/>
  <c r="C20" i="38" s="1"/>
  <c r="I323" i="8"/>
  <c r="G138" i="8"/>
  <c r="I138" i="8"/>
  <c r="H7" i="23"/>
  <c r="F178" i="8"/>
  <c r="F7" i="23"/>
  <c r="E7" i="23"/>
  <c r="G7" i="23"/>
  <c r="J272" i="8"/>
  <c r="F103" i="37" s="1"/>
  <c r="I272" i="8"/>
  <c r="E103" i="37" s="1"/>
  <c r="H272" i="8"/>
  <c r="D103" i="37" s="1"/>
  <c r="G272" i="8"/>
  <c r="C103" i="37" s="1"/>
  <c r="F272" i="8"/>
  <c r="B103" i="37" s="1"/>
  <c r="E272" i="8"/>
  <c r="J270" i="8"/>
  <c r="F102" i="37" s="1"/>
  <c r="I270" i="8"/>
  <c r="E102" i="37" s="1"/>
  <c r="H270" i="8"/>
  <c r="D102" i="37" s="1"/>
  <c r="G270" i="8"/>
  <c r="C102" i="37" s="1"/>
  <c r="F270" i="8"/>
  <c r="B102" i="37" s="1"/>
  <c r="E270" i="8"/>
  <c r="J268" i="8"/>
  <c r="F101" i="37" s="1"/>
  <c r="I268" i="8"/>
  <c r="E101" i="37" s="1"/>
  <c r="H268" i="8"/>
  <c r="D101" i="37" s="1"/>
  <c r="G268" i="8"/>
  <c r="C101" i="37" s="1"/>
  <c r="F268" i="8"/>
  <c r="B101" i="37" s="1"/>
  <c r="E268" i="8"/>
  <c r="J266" i="8"/>
  <c r="F100" i="37" s="1"/>
  <c r="I266" i="8"/>
  <c r="E100" i="37" s="1"/>
  <c r="H266" i="8"/>
  <c r="D100" i="37" s="1"/>
  <c r="G266" i="8"/>
  <c r="C100" i="37" s="1"/>
  <c r="F266" i="8"/>
  <c r="B100" i="37" s="1"/>
  <c r="E266" i="8"/>
  <c r="J252" i="8"/>
  <c r="F94" i="37" s="1"/>
  <c r="I252" i="8"/>
  <c r="E94" i="37" s="1"/>
  <c r="H252" i="8"/>
  <c r="D94" i="37" s="1"/>
  <c r="G252" i="8"/>
  <c r="C94" i="37" s="1"/>
  <c r="F252" i="8"/>
  <c r="B94" i="37" s="1"/>
  <c r="E252" i="8"/>
  <c r="J250" i="8"/>
  <c r="F93" i="37" s="1"/>
  <c r="I250" i="8"/>
  <c r="E93" i="37" s="1"/>
  <c r="H250" i="8"/>
  <c r="D93" i="37" s="1"/>
  <c r="G250" i="8"/>
  <c r="C93" i="37" s="1"/>
  <c r="F250" i="8"/>
  <c r="B93" i="37" s="1"/>
  <c r="E250" i="8"/>
  <c r="J248" i="8"/>
  <c r="F92" i="37" s="1"/>
  <c r="I248" i="8"/>
  <c r="E92" i="37" s="1"/>
  <c r="H248" i="8"/>
  <c r="D92" i="37" s="1"/>
  <c r="G248" i="8"/>
  <c r="C92" i="37" s="1"/>
  <c r="F248" i="8"/>
  <c r="B92" i="37" s="1"/>
  <c r="E248" i="8"/>
  <c r="J246" i="8"/>
  <c r="F91" i="37" s="1"/>
  <c r="I246" i="8"/>
  <c r="E91" i="37" s="1"/>
  <c r="H246" i="8"/>
  <c r="D91" i="37" s="1"/>
  <c r="G246" i="8"/>
  <c r="C91" i="37" s="1"/>
  <c r="F246" i="8"/>
  <c r="B91" i="37" s="1"/>
  <c r="E246" i="8"/>
  <c r="J240" i="8"/>
  <c r="F89" i="37" s="1"/>
  <c r="I240" i="8"/>
  <c r="E89" i="37" s="1"/>
  <c r="H240" i="8"/>
  <c r="D89" i="37" s="1"/>
  <c r="G240" i="8"/>
  <c r="C89" i="37" s="1"/>
  <c r="F240" i="8"/>
  <c r="B89" i="37" s="1"/>
  <c r="E240" i="8"/>
  <c r="J238" i="8"/>
  <c r="F88" i="37" s="1"/>
  <c r="I238" i="8"/>
  <c r="E88" i="37" s="1"/>
  <c r="H238" i="8"/>
  <c r="D88" i="37" s="1"/>
  <c r="G238" i="8"/>
  <c r="C88" i="37" s="1"/>
  <c r="F238" i="8"/>
  <c r="B88" i="37" s="1"/>
  <c r="E238" i="8"/>
  <c r="J236" i="8"/>
  <c r="F87" i="37" s="1"/>
  <c r="I236" i="8"/>
  <c r="E87" i="37" s="1"/>
  <c r="H236" i="8"/>
  <c r="D87" i="37" s="1"/>
  <c r="G236" i="8"/>
  <c r="C87" i="37" s="1"/>
  <c r="F236" i="8"/>
  <c r="B87" i="37" s="1"/>
  <c r="E236" i="8"/>
  <c r="J234" i="8"/>
  <c r="F86" i="37" s="1"/>
  <c r="I234" i="8"/>
  <c r="E86" i="37" s="1"/>
  <c r="H234" i="8"/>
  <c r="D86" i="37" s="1"/>
  <c r="G234" i="8"/>
  <c r="C86" i="37" s="1"/>
  <c r="F234" i="8"/>
  <c r="B86" i="37" s="1"/>
  <c r="E234" i="8"/>
  <c r="J232" i="8"/>
  <c r="F85" i="37" s="1"/>
  <c r="I232" i="8"/>
  <c r="E85" i="37" s="1"/>
  <c r="H232" i="8"/>
  <c r="D85" i="37" s="1"/>
  <c r="G232" i="8"/>
  <c r="C85" i="37" s="1"/>
  <c r="F232" i="8"/>
  <c r="B85" i="37" s="1"/>
  <c r="E232" i="8"/>
  <c r="J226" i="8"/>
  <c r="F83" i="37" s="1"/>
  <c r="I226" i="8"/>
  <c r="E83" i="37" s="1"/>
  <c r="H226" i="8"/>
  <c r="D83" i="37" s="1"/>
  <c r="G226" i="8"/>
  <c r="C83" i="37" s="1"/>
  <c r="F226" i="8"/>
  <c r="B83" i="37" s="1"/>
  <c r="E226" i="8"/>
  <c r="J224" i="8"/>
  <c r="F82" i="37" s="1"/>
  <c r="I224" i="8"/>
  <c r="E82" i="37" s="1"/>
  <c r="H224" i="8"/>
  <c r="D82" i="37" s="1"/>
  <c r="G224" i="8"/>
  <c r="C82" i="37" s="1"/>
  <c r="F224" i="8"/>
  <c r="B82" i="37" s="1"/>
  <c r="E224" i="8"/>
  <c r="J222" i="8"/>
  <c r="F81" i="37" s="1"/>
  <c r="I222" i="8"/>
  <c r="E81" i="37" s="1"/>
  <c r="H222" i="8"/>
  <c r="D81" i="37" s="1"/>
  <c r="G222" i="8"/>
  <c r="C81" i="37" s="1"/>
  <c r="F222" i="8"/>
  <c r="B81" i="37" s="1"/>
  <c r="E222" i="8"/>
  <c r="F216" i="8"/>
  <c r="B79" i="37" s="1"/>
  <c r="E216" i="8"/>
  <c r="J214" i="8"/>
  <c r="F78" i="37" s="1"/>
  <c r="I214" i="8"/>
  <c r="E78" i="37" s="1"/>
  <c r="H214" i="8"/>
  <c r="D78" i="37" s="1"/>
  <c r="G214" i="8"/>
  <c r="C78" i="37" s="1"/>
  <c r="F214" i="8"/>
  <c r="B78" i="37" s="1"/>
  <c r="E214" i="8"/>
  <c r="J212" i="8"/>
  <c r="F77" i="37" s="1"/>
  <c r="I212" i="8"/>
  <c r="E77" i="37" s="1"/>
  <c r="H212" i="8"/>
  <c r="D77" i="37" s="1"/>
  <c r="G212" i="8"/>
  <c r="C77" i="37" s="1"/>
  <c r="F212" i="8"/>
  <c r="B77" i="37" s="1"/>
  <c r="E212" i="8"/>
  <c r="J210" i="8"/>
  <c r="F76" i="37" s="1"/>
  <c r="I210" i="8"/>
  <c r="E76" i="37" s="1"/>
  <c r="H210" i="8"/>
  <c r="D76" i="37" s="1"/>
  <c r="G210" i="8"/>
  <c r="C76" i="37" s="1"/>
  <c r="F210" i="8"/>
  <c r="B76" i="37" s="1"/>
  <c r="E210" i="8"/>
  <c r="J208" i="8"/>
  <c r="F75" i="37" s="1"/>
  <c r="I208" i="8"/>
  <c r="E75" i="37" s="1"/>
  <c r="H208" i="8"/>
  <c r="D75" i="37" s="1"/>
  <c r="G208" i="8"/>
  <c r="C75" i="37" s="1"/>
  <c r="F208" i="8"/>
  <c r="B75" i="37" s="1"/>
  <c r="E208" i="8"/>
  <c r="J206" i="8"/>
  <c r="F74" i="37" s="1"/>
  <c r="I206" i="8"/>
  <c r="E74" i="37" s="1"/>
  <c r="H206" i="8"/>
  <c r="D74" i="37" s="1"/>
  <c r="G206" i="8"/>
  <c r="C74" i="37" s="1"/>
  <c r="F206" i="8"/>
  <c r="B74" i="37" s="1"/>
  <c r="E206" i="8"/>
  <c r="J204" i="8"/>
  <c r="F73" i="37" s="1"/>
  <c r="I204" i="8"/>
  <c r="E73" i="37" s="1"/>
  <c r="H204" i="8"/>
  <c r="D73" i="37" s="1"/>
  <c r="G204" i="8"/>
  <c r="C73" i="37" s="1"/>
  <c r="F204" i="8"/>
  <c r="B73" i="37" s="1"/>
  <c r="E204" i="8"/>
  <c r="J202" i="8"/>
  <c r="F72" i="37" s="1"/>
  <c r="I202" i="8"/>
  <c r="E72" i="37" s="1"/>
  <c r="H202" i="8"/>
  <c r="D72" i="37" s="1"/>
  <c r="G202" i="8"/>
  <c r="C72" i="37" s="1"/>
  <c r="F202" i="8"/>
  <c r="B72" i="37" s="1"/>
  <c r="E202" i="8"/>
  <c r="J200" i="8"/>
  <c r="F71" i="37" s="1"/>
  <c r="I200" i="8"/>
  <c r="E71" i="37" s="1"/>
  <c r="H200" i="8"/>
  <c r="D71" i="37" s="1"/>
  <c r="G200" i="8"/>
  <c r="C71" i="37" s="1"/>
  <c r="F200" i="8"/>
  <c r="B71" i="37" s="1"/>
  <c r="E200" i="8"/>
  <c r="J198" i="8"/>
  <c r="F70" i="37" s="1"/>
  <c r="I198" i="8"/>
  <c r="E70" i="37" s="1"/>
  <c r="H198" i="8"/>
  <c r="D70" i="37" s="1"/>
  <c r="G198" i="8"/>
  <c r="C70" i="37" s="1"/>
  <c r="F198" i="8"/>
  <c r="B70" i="37" s="1"/>
  <c r="E198" i="8"/>
  <c r="J196" i="8"/>
  <c r="F69" i="37" s="1"/>
  <c r="I196" i="8"/>
  <c r="E69" i="37" s="1"/>
  <c r="H196" i="8"/>
  <c r="D69" i="37" s="1"/>
  <c r="G196" i="8"/>
  <c r="C69" i="37" s="1"/>
  <c r="F196" i="8"/>
  <c r="B69" i="37" s="1"/>
  <c r="E196" i="8"/>
  <c r="J194" i="8"/>
  <c r="F68" i="37" s="1"/>
  <c r="I194" i="8"/>
  <c r="E68" i="37" s="1"/>
  <c r="H194" i="8"/>
  <c r="D68" i="37" s="1"/>
  <c r="G194" i="8"/>
  <c r="C68" i="37" s="1"/>
  <c r="F194" i="8"/>
  <c r="B68" i="37" s="1"/>
  <c r="E194" i="8"/>
  <c r="J192" i="8"/>
  <c r="F67" i="37" s="1"/>
  <c r="I192" i="8"/>
  <c r="E67" i="37" s="1"/>
  <c r="H192" i="8"/>
  <c r="D67" i="37" s="1"/>
  <c r="G192" i="8"/>
  <c r="C67" i="37" s="1"/>
  <c r="F192" i="8"/>
  <c r="B67" i="37" s="1"/>
  <c r="E192" i="8"/>
  <c r="J173" i="8"/>
  <c r="F63" i="37" s="1"/>
  <c r="I173" i="8"/>
  <c r="E63" i="37" s="1"/>
  <c r="H173" i="8"/>
  <c r="D63" i="37" s="1"/>
  <c r="G173" i="8"/>
  <c r="C63" i="37" s="1"/>
  <c r="F173" i="8"/>
  <c r="B63" i="37" s="1"/>
  <c r="E173" i="8"/>
  <c r="J171" i="8"/>
  <c r="F62" i="37" s="1"/>
  <c r="I171" i="8"/>
  <c r="E62" i="37" s="1"/>
  <c r="H171" i="8"/>
  <c r="D62" i="37" s="1"/>
  <c r="G171" i="8"/>
  <c r="C62" i="37" s="1"/>
  <c r="F171" i="8"/>
  <c r="B62" i="37" s="1"/>
  <c r="E171" i="8"/>
  <c r="J169" i="8"/>
  <c r="F61" i="37" s="1"/>
  <c r="I169" i="8"/>
  <c r="E61" i="37" s="1"/>
  <c r="H169" i="8"/>
  <c r="D61" i="37" s="1"/>
  <c r="G169" i="8"/>
  <c r="C61" i="37" s="1"/>
  <c r="F169" i="8"/>
  <c r="B61" i="37" s="1"/>
  <c r="E169" i="8"/>
  <c r="J166" i="8"/>
  <c r="F60" i="37" s="1"/>
  <c r="I166" i="8"/>
  <c r="E60" i="37" s="1"/>
  <c r="H166" i="8"/>
  <c r="D60" i="37" s="1"/>
  <c r="G166" i="8"/>
  <c r="C60" i="37" s="1"/>
  <c r="F166" i="8"/>
  <c r="B60" i="37" s="1"/>
  <c r="E166" i="8"/>
  <c r="J164" i="8"/>
  <c r="F59" i="37" s="1"/>
  <c r="I164" i="8"/>
  <c r="E59" i="37" s="1"/>
  <c r="H164" i="8"/>
  <c r="D59" i="37" s="1"/>
  <c r="G164" i="8"/>
  <c r="C59" i="37" s="1"/>
  <c r="F164" i="8"/>
  <c r="B59" i="37" s="1"/>
  <c r="E164" i="8"/>
  <c r="J160" i="8"/>
  <c r="F57" i="37" s="1"/>
  <c r="I160" i="8"/>
  <c r="E57" i="37" s="1"/>
  <c r="H160" i="8"/>
  <c r="D57" i="37" s="1"/>
  <c r="G160" i="8"/>
  <c r="C57" i="37" s="1"/>
  <c r="F160" i="8"/>
  <c r="B57" i="37" s="1"/>
  <c r="E160" i="8"/>
  <c r="J158" i="8"/>
  <c r="F56" i="37" s="1"/>
  <c r="I158" i="8"/>
  <c r="E56" i="37" s="1"/>
  <c r="H158" i="8"/>
  <c r="D56" i="37" s="1"/>
  <c r="G158" i="8"/>
  <c r="C56" i="37" s="1"/>
  <c r="F158" i="8"/>
  <c r="B56" i="37" s="1"/>
  <c r="E158" i="8"/>
  <c r="J152" i="8"/>
  <c r="F54" i="37" s="1"/>
  <c r="I152" i="8"/>
  <c r="E54" i="37" s="1"/>
  <c r="H152" i="8"/>
  <c r="D54" i="37" s="1"/>
  <c r="G152" i="8"/>
  <c r="C54" i="37" s="1"/>
  <c r="F152" i="8"/>
  <c r="B54" i="37" s="1"/>
  <c r="E152" i="8"/>
  <c r="J148" i="8"/>
  <c r="F52" i="37" s="1"/>
  <c r="I148" i="8"/>
  <c r="E52" i="37" s="1"/>
  <c r="H148" i="8"/>
  <c r="D52" i="37" s="1"/>
  <c r="G148" i="8"/>
  <c r="C52" i="37" s="1"/>
  <c r="F148" i="8"/>
  <c r="B52" i="37" s="1"/>
  <c r="E148" i="8"/>
  <c r="J146" i="8"/>
  <c r="F51" i="37" s="1"/>
  <c r="I146" i="8"/>
  <c r="E51" i="37" s="1"/>
  <c r="H146" i="8"/>
  <c r="D51" i="37" s="1"/>
  <c r="G146" i="8"/>
  <c r="C51" i="37" s="1"/>
  <c r="F146" i="8"/>
  <c r="B51" i="37" s="1"/>
  <c r="E146" i="8"/>
  <c r="J144" i="8"/>
  <c r="F50" i="37" s="1"/>
  <c r="I144" i="8"/>
  <c r="E50" i="37" s="1"/>
  <c r="H144" i="8"/>
  <c r="D50" i="37" s="1"/>
  <c r="G144" i="8"/>
  <c r="C50" i="37" s="1"/>
  <c r="F144" i="8"/>
  <c r="B50" i="37" s="1"/>
  <c r="E144" i="8"/>
  <c r="J142" i="8"/>
  <c r="F49" i="37" s="1"/>
  <c r="I142" i="8"/>
  <c r="E49" i="37" s="1"/>
  <c r="H142" i="8"/>
  <c r="D49" i="37" s="1"/>
  <c r="G142" i="8"/>
  <c r="C49" i="37" s="1"/>
  <c r="F142" i="8"/>
  <c r="B49" i="37" s="1"/>
  <c r="E142" i="8"/>
  <c r="J136" i="8"/>
  <c r="F47" i="37" s="1"/>
  <c r="I136" i="8"/>
  <c r="E47" i="37" s="1"/>
  <c r="H136" i="8"/>
  <c r="D47" i="37" s="1"/>
  <c r="G136" i="8"/>
  <c r="C47" i="37" s="1"/>
  <c r="F136" i="8"/>
  <c r="B47" i="37" s="1"/>
  <c r="E136" i="8"/>
  <c r="J134" i="8"/>
  <c r="F46" i="37" s="1"/>
  <c r="I134" i="8"/>
  <c r="E46" i="37" s="1"/>
  <c r="H134" i="8"/>
  <c r="D46" i="37" s="1"/>
  <c r="G134" i="8"/>
  <c r="C46" i="37" s="1"/>
  <c r="F134" i="8"/>
  <c r="B46" i="37" s="1"/>
  <c r="E134" i="8"/>
  <c r="J132" i="8"/>
  <c r="F45" i="37" s="1"/>
  <c r="I132" i="8"/>
  <c r="E45" i="37" s="1"/>
  <c r="H132" i="8"/>
  <c r="D45" i="37" s="1"/>
  <c r="G132" i="8"/>
  <c r="C45" i="37" s="1"/>
  <c r="F132" i="8"/>
  <c r="B45" i="37" s="1"/>
  <c r="E132" i="8"/>
  <c r="J130" i="8"/>
  <c r="F44" i="37" s="1"/>
  <c r="I130" i="8"/>
  <c r="E44" i="37" s="1"/>
  <c r="H130" i="8"/>
  <c r="D44" i="37" s="1"/>
  <c r="G130" i="8"/>
  <c r="C44" i="37" s="1"/>
  <c r="F130" i="8"/>
  <c r="B44" i="37" s="1"/>
  <c r="E130" i="8"/>
  <c r="J124" i="8"/>
  <c r="I124" i="8"/>
  <c r="H124" i="8"/>
  <c r="G124" i="8"/>
  <c r="F124" i="8"/>
  <c r="E124" i="8"/>
  <c r="J122" i="8"/>
  <c r="F42" i="37" s="1"/>
  <c r="I122" i="8"/>
  <c r="E42" i="37" s="1"/>
  <c r="H122" i="8"/>
  <c r="D42" i="37" s="1"/>
  <c r="G122" i="8"/>
  <c r="C42" i="37" s="1"/>
  <c r="F122" i="8"/>
  <c r="B42" i="37" s="1"/>
  <c r="E122" i="8"/>
  <c r="J120" i="8"/>
  <c r="F41" i="37" s="1"/>
  <c r="I120" i="8"/>
  <c r="E41" i="37" s="1"/>
  <c r="H120" i="8"/>
  <c r="D41" i="37" s="1"/>
  <c r="G120" i="8"/>
  <c r="C41" i="37" s="1"/>
  <c r="F120" i="8"/>
  <c r="B41" i="37" s="1"/>
  <c r="E120" i="8"/>
  <c r="J118" i="8"/>
  <c r="F40" i="37" s="1"/>
  <c r="I118" i="8"/>
  <c r="E40" i="37" s="1"/>
  <c r="H118" i="8"/>
  <c r="D40" i="37" s="1"/>
  <c r="G118" i="8"/>
  <c r="C40" i="37" s="1"/>
  <c r="F118" i="8"/>
  <c r="B40" i="37" s="1"/>
  <c r="E118" i="8"/>
  <c r="J116" i="8"/>
  <c r="F39" i="37" s="1"/>
  <c r="I116" i="8"/>
  <c r="E39" i="37" s="1"/>
  <c r="H116" i="8"/>
  <c r="D39" i="37" s="1"/>
  <c r="G116" i="8"/>
  <c r="C39" i="37" s="1"/>
  <c r="F116" i="8"/>
  <c r="B39" i="37" s="1"/>
  <c r="E116" i="8"/>
  <c r="J114" i="8"/>
  <c r="F38" i="37" s="1"/>
  <c r="I114" i="8"/>
  <c r="E38" i="37" s="1"/>
  <c r="H114" i="8"/>
  <c r="D38" i="37" s="1"/>
  <c r="G114" i="8"/>
  <c r="C38" i="37" s="1"/>
  <c r="F114" i="8"/>
  <c r="B38" i="37" s="1"/>
  <c r="E114" i="8"/>
  <c r="J108" i="8"/>
  <c r="F36" i="37" s="1"/>
  <c r="I108" i="8"/>
  <c r="E36" i="37" s="1"/>
  <c r="H108" i="8"/>
  <c r="D36" i="37" s="1"/>
  <c r="G108" i="8"/>
  <c r="C36" i="37" s="1"/>
  <c r="F108" i="8"/>
  <c r="B36" i="37" s="1"/>
  <c r="E108" i="8"/>
  <c r="J106" i="8"/>
  <c r="F35" i="37" s="1"/>
  <c r="I106" i="8"/>
  <c r="E35" i="37" s="1"/>
  <c r="H106" i="8"/>
  <c r="D35" i="37" s="1"/>
  <c r="G106" i="8"/>
  <c r="C35" i="37" s="1"/>
  <c r="F106" i="8"/>
  <c r="B35" i="37" s="1"/>
  <c r="E106" i="8"/>
  <c r="J103" i="8"/>
  <c r="F34" i="37" s="1"/>
  <c r="I103" i="8"/>
  <c r="E34" i="37" s="1"/>
  <c r="H103" i="8"/>
  <c r="D34" i="37" s="1"/>
  <c r="G103" i="8"/>
  <c r="C34" i="37" s="1"/>
  <c r="F103" i="8"/>
  <c r="B34" i="37" s="1"/>
  <c r="E103" i="8"/>
  <c r="J101" i="8"/>
  <c r="F33" i="37" s="1"/>
  <c r="I101" i="8"/>
  <c r="E33" i="37" s="1"/>
  <c r="H101" i="8"/>
  <c r="D33" i="37" s="1"/>
  <c r="G101" i="8"/>
  <c r="C33" i="37" s="1"/>
  <c r="F101" i="8"/>
  <c r="B33" i="37" s="1"/>
  <c r="E101" i="8"/>
  <c r="I99" i="8"/>
  <c r="E32" i="37" s="1"/>
  <c r="H99" i="8"/>
  <c r="D32" i="37" s="1"/>
  <c r="G99" i="8"/>
  <c r="C32" i="37" s="1"/>
  <c r="F99" i="8"/>
  <c r="B32" i="37" s="1"/>
  <c r="E99" i="8"/>
  <c r="J88" i="8"/>
  <c r="F30" i="37" s="1"/>
  <c r="I88" i="8"/>
  <c r="E30" i="37" s="1"/>
  <c r="F88" i="8"/>
  <c r="B30" i="37" s="1"/>
  <c r="E88" i="8"/>
  <c r="J86" i="8"/>
  <c r="F29" i="37" s="1"/>
  <c r="I86" i="8"/>
  <c r="E29" i="37" s="1"/>
  <c r="H86" i="8"/>
  <c r="D29" i="37" s="1"/>
  <c r="G86" i="8"/>
  <c r="C29" i="37" s="1"/>
  <c r="F86" i="8"/>
  <c r="B29" i="37" s="1"/>
  <c r="E86" i="8"/>
  <c r="J84" i="8"/>
  <c r="F28" i="37" s="1"/>
  <c r="I84" i="8"/>
  <c r="E28" i="37" s="1"/>
  <c r="H84" i="8"/>
  <c r="D28" i="37" s="1"/>
  <c r="G84" i="8"/>
  <c r="C28" i="37" s="1"/>
  <c r="F84" i="8"/>
  <c r="B28" i="37" s="1"/>
  <c r="E84" i="8"/>
  <c r="J79" i="8"/>
  <c r="I79" i="8"/>
  <c r="H79" i="8"/>
  <c r="G79" i="8"/>
  <c r="F79" i="8"/>
  <c r="E79" i="8"/>
  <c r="J77" i="8"/>
  <c r="F26" i="37" s="1"/>
  <c r="I77" i="8"/>
  <c r="E26" i="37" s="1"/>
  <c r="H77" i="8"/>
  <c r="D26" i="37" s="1"/>
  <c r="G77" i="8"/>
  <c r="C26" i="37" s="1"/>
  <c r="F77" i="8"/>
  <c r="B26" i="37" s="1"/>
  <c r="E77" i="8"/>
  <c r="J75" i="8"/>
  <c r="F25" i="37" s="1"/>
  <c r="I75" i="8"/>
  <c r="E25" i="37" s="1"/>
  <c r="H75" i="8"/>
  <c r="D25" i="37" s="1"/>
  <c r="G75" i="8"/>
  <c r="C25" i="37" s="1"/>
  <c r="F75" i="8"/>
  <c r="B25" i="37" s="1"/>
  <c r="E75" i="8"/>
  <c r="J73" i="8"/>
  <c r="F24" i="37" s="1"/>
  <c r="I73" i="8"/>
  <c r="E24" i="37" s="1"/>
  <c r="H73" i="8"/>
  <c r="D24" i="37" s="1"/>
  <c r="G73" i="8"/>
  <c r="C24" i="37" s="1"/>
  <c r="F73" i="8"/>
  <c r="B24" i="37" s="1"/>
  <c r="E73" i="8"/>
  <c r="J68" i="8"/>
  <c r="F22" i="37" s="1"/>
  <c r="I68" i="8"/>
  <c r="E22" i="37" s="1"/>
  <c r="H68" i="8"/>
  <c r="D22" i="37" s="1"/>
  <c r="G68" i="8"/>
  <c r="C22" i="37" s="1"/>
  <c r="F68" i="8"/>
  <c r="B22" i="37" s="1"/>
  <c r="E68" i="8"/>
  <c r="J66" i="8"/>
  <c r="F21" i="37" s="1"/>
  <c r="I66" i="8"/>
  <c r="E21" i="37" s="1"/>
  <c r="H66" i="8"/>
  <c r="D21" i="37" s="1"/>
  <c r="G66" i="8"/>
  <c r="C21" i="37" s="1"/>
  <c r="F66" i="8"/>
  <c r="B21" i="37" s="1"/>
  <c r="E66" i="8"/>
  <c r="J59" i="8"/>
  <c r="F18" i="37" s="1"/>
  <c r="I59" i="8"/>
  <c r="E18" i="37" s="1"/>
  <c r="H59" i="8"/>
  <c r="D18" i="37" s="1"/>
  <c r="G59" i="8"/>
  <c r="C18" i="37" s="1"/>
  <c r="F59" i="8"/>
  <c r="B18" i="37" s="1"/>
  <c r="E59" i="8"/>
  <c r="J57" i="8"/>
  <c r="F17" i="37" s="1"/>
  <c r="I57" i="8"/>
  <c r="E17" i="37" s="1"/>
  <c r="H57" i="8"/>
  <c r="D17" i="37" s="1"/>
  <c r="G57" i="8"/>
  <c r="C17" i="37" s="1"/>
  <c r="F57" i="8"/>
  <c r="B17" i="37" s="1"/>
  <c r="E57" i="8"/>
  <c r="J55" i="8"/>
  <c r="F16" i="37" s="1"/>
  <c r="I55" i="8"/>
  <c r="E16" i="37" s="1"/>
  <c r="H55" i="8"/>
  <c r="D16" i="37" s="1"/>
  <c r="G55" i="8"/>
  <c r="C16" i="37" s="1"/>
  <c r="F55" i="8"/>
  <c r="B16" i="37" s="1"/>
  <c r="E55" i="8"/>
  <c r="J53" i="8"/>
  <c r="F15" i="37" s="1"/>
  <c r="I53" i="8"/>
  <c r="E15" i="37" s="1"/>
  <c r="H53" i="8"/>
  <c r="D15" i="37" s="1"/>
  <c r="G53" i="8"/>
  <c r="C15" i="37" s="1"/>
  <c r="F53" i="8"/>
  <c r="B15" i="37" s="1"/>
  <c r="E53" i="8"/>
  <c r="J51" i="8"/>
  <c r="F14" i="37" s="1"/>
  <c r="I51" i="8"/>
  <c r="E14" i="37" s="1"/>
  <c r="H51" i="8"/>
  <c r="D14" i="37" s="1"/>
  <c r="G51" i="8"/>
  <c r="C14" i="37" s="1"/>
  <c r="F51" i="8"/>
  <c r="B14" i="37" s="1"/>
  <c r="E51" i="8"/>
  <c r="J49" i="8"/>
  <c r="F13" i="37" s="1"/>
  <c r="I49" i="8"/>
  <c r="E13" i="37" s="1"/>
  <c r="H49" i="8"/>
  <c r="D13" i="37" s="1"/>
  <c r="G49" i="8"/>
  <c r="C13" i="37" s="1"/>
  <c r="F49" i="8"/>
  <c r="B13" i="37" s="1"/>
  <c r="E49" i="8"/>
  <c r="J47" i="8"/>
  <c r="F12" i="37" s="1"/>
  <c r="I47" i="8"/>
  <c r="E12" i="37" s="1"/>
  <c r="H47" i="8"/>
  <c r="D12" i="37" s="1"/>
  <c r="G47" i="8"/>
  <c r="C12" i="37" s="1"/>
  <c r="F47" i="8"/>
  <c r="B12" i="37" s="1"/>
  <c r="E47" i="8"/>
  <c r="J42" i="8"/>
  <c r="F10" i="37" s="1"/>
  <c r="I42" i="8"/>
  <c r="E10" i="37" s="1"/>
  <c r="H42" i="8"/>
  <c r="D10" i="37" s="1"/>
  <c r="G42" i="8"/>
  <c r="C10" i="37" s="1"/>
  <c r="F42" i="8"/>
  <c r="B10" i="37" s="1"/>
  <c r="E42" i="8"/>
  <c r="J40" i="8"/>
  <c r="F9" i="37" s="1"/>
  <c r="I40" i="8"/>
  <c r="E9" i="37" s="1"/>
  <c r="H40" i="8"/>
  <c r="D9" i="37" s="1"/>
  <c r="G40" i="8"/>
  <c r="C9" i="37" s="1"/>
  <c r="F40" i="8"/>
  <c r="B9" i="37" s="1"/>
  <c r="E40" i="8"/>
  <c r="J38" i="8"/>
  <c r="F8" i="37" s="1"/>
  <c r="I38" i="8"/>
  <c r="E8" i="37" s="1"/>
  <c r="H38" i="8"/>
  <c r="D8" i="37" s="1"/>
  <c r="G38" i="8"/>
  <c r="C8" i="37" s="1"/>
  <c r="F38" i="8"/>
  <c r="B8" i="37" s="1"/>
  <c r="E38" i="8"/>
  <c r="F34" i="8"/>
  <c r="B6" i="37" s="1"/>
  <c r="E34" i="8"/>
  <c r="J32" i="8"/>
  <c r="I32" i="8"/>
  <c r="H32" i="8"/>
  <c r="G32" i="8"/>
  <c r="F32" i="8"/>
  <c r="E32" i="8"/>
  <c r="J27" i="8"/>
  <c r="F4" i="37" s="1"/>
  <c r="I27" i="8"/>
  <c r="E4" i="37" s="1"/>
  <c r="H27" i="8"/>
  <c r="D4" i="37" s="1"/>
  <c r="G27" i="8"/>
  <c r="C4" i="37" s="1"/>
  <c r="F27" i="8"/>
  <c r="B4" i="37" s="1"/>
  <c r="E27" i="8"/>
  <c r="F25" i="8"/>
  <c r="B3" i="37" s="1"/>
  <c r="E25" i="8"/>
  <c r="F23" i="8"/>
  <c r="B2" i="37" s="1"/>
  <c r="G23" i="8"/>
  <c r="C2" i="37" s="1"/>
  <c r="H23" i="8"/>
  <c r="D2" i="37" s="1"/>
  <c r="I23" i="8"/>
  <c r="E2" i="37" s="1"/>
  <c r="J23" i="8"/>
  <c r="F2" i="37" s="1"/>
  <c r="E23" i="8"/>
  <c r="I320" i="8" l="1"/>
  <c r="L34" i="35" s="1"/>
  <c r="J320" i="8"/>
  <c r="N34" i="35" s="1"/>
  <c r="AN98" i="41"/>
  <c r="AM103" i="41"/>
  <c r="AM105" i="41" s="1"/>
  <c r="E286" i="8"/>
  <c r="I178" i="8"/>
  <c r="F286" i="8"/>
  <c r="F290" i="8" s="1"/>
  <c r="H303" i="8"/>
  <c r="I8" i="35"/>
  <c r="J8" i="35"/>
  <c r="E37" i="35"/>
  <c r="F37" i="35"/>
  <c r="H320" i="8"/>
  <c r="J34" i="35" s="1"/>
  <c r="H37" i="35"/>
  <c r="G37" i="35"/>
  <c r="J178" i="8"/>
  <c r="G347" i="8"/>
  <c r="E62" i="13"/>
  <c r="I9" i="35"/>
  <c r="J9" i="35"/>
  <c r="J37" i="35"/>
  <c r="I37" i="35"/>
  <c r="K9" i="35"/>
  <c r="L9" i="35"/>
  <c r="J303" i="8"/>
  <c r="M9" i="35"/>
  <c r="N9" i="35"/>
  <c r="E290" i="8"/>
  <c r="E293" i="8" s="1"/>
  <c r="N8" i="35"/>
  <c r="M8" i="35"/>
  <c r="E61" i="8"/>
  <c r="N37" i="35"/>
  <c r="M37" i="35"/>
  <c r="E9" i="35"/>
  <c r="F9" i="35"/>
  <c r="K37" i="35"/>
  <c r="L37" i="35"/>
  <c r="F8" i="35"/>
  <c r="E8" i="35"/>
  <c r="F320" i="8"/>
  <c r="F34" i="35" s="1"/>
  <c r="K8" i="35"/>
  <c r="L8" i="35"/>
  <c r="G9" i="35"/>
  <c r="H9" i="35"/>
  <c r="E178" i="8"/>
  <c r="G303" i="8"/>
  <c r="G8" i="35"/>
  <c r="H8" i="35"/>
  <c r="F347" i="8"/>
  <c r="F303" i="8"/>
  <c r="E303" i="8"/>
  <c r="C23" i="8"/>
  <c r="C270" i="8"/>
  <c r="C268" i="8"/>
  <c r="C266" i="8"/>
  <c r="C196" i="8"/>
  <c r="C204" i="8"/>
  <c r="C212" i="8"/>
  <c r="C222" i="8"/>
  <c r="C238" i="8"/>
  <c r="C250" i="8"/>
  <c r="C272" i="8"/>
  <c r="C192" i="8"/>
  <c r="C101" i="8"/>
  <c r="C202" i="8"/>
  <c r="C210" i="8"/>
  <c r="C226" i="8"/>
  <c r="C236" i="8"/>
  <c r="C248" i="8"/>
  <c r="C194" i="8"/>
  <c r="C200" i="8"/>
  <c r="C208" i="8"/>
  <c r="C234" i="8"/>
  <c r="C246" i="8"/>
  <c r="C198" i="8"/>
  <c r="C206" i="8"/>
  <c r="C214" i="8"/>
  <c r="C224" i="8"/>
  <c r="C232" i="8"/>
  <c r="C240" i="8"/>
  <c r="C252" i="8"/>
  <c r="C108" i="8"/>
  <c r="C120" i="8"/>
  <c r="C134" i="8"/>
  <c r="C146" i="8"/>
  <c r="C162" i="8"/>
  <c r="C171" i="8"/>
  <c r="C106" i="8"/>
  <c r="C103" i="8"/>
  <c r="C118" i="8"/>
  <c r="C132" i="8"/>
  <c r="C144" i="8"/>
  <c r="C160" i="8"/>
  <c r="C169" i="8"/>
  <c r="C40" i="8"/>
  <c r="C51" i="8"/>
  <c r="C59" i="8"/>
  <c r="C66" i="8"/>
  <c r="C77" i="8"/>
  <c r="C116" i="8"/>
  <c r="C124" i="8"/>
  <c r="C130" i="8"/>
  <c r="C142" i="8"/>
  <c r="C152" i="8"/>
  <c r="C158" i="8"/>
  <c r="C166" i="8"/>
  <c r="C114" i="8"/>
  <c r="C122" i="8"/>
  <c r="C136" i="8"/>
  <c r="C148" i="8"/>
  <c r="C164" i="8"/>
  <c r="C173" i="8"/>
  <c r="C49" i="8"/>
  <c r="C57" i="8"/>
  <c r="C75" i="8"/>
  <c r="C47" i="8"/>
  <c r="C55" i="8"/>
  <c r="C73" i="8"/>
  <c r="C86" i="8"/>
  <c r="C38" i="8"/>
  <c r="C32" i="8"/>
  <c r="C27" i="8"/>
  <c r="C42" i="8"/>
  <c r="C53" i="8"/>
  <c r="C68" i="8"/>
  <c r="C79" i="8"/>
  <c r="C84" i="8"/>
  <c r="AN103" i="41" l="1"/>
  <c r="AN105" i="41" s="1"/>
  <c r="AO98" i="41"/>
  <c r="E309" i="8"/>
  <c r="E346" i="8" s="1"/>
  <c r="B20" i="38"/>
  <c r="D62" i="13"/>
  <c r="F293" i="8"/>
  <c r="F309" i="8" s="1"/>
  <c r="F319" i="8" s="1"/>
  <c r="F330" i="8" s="1"/>
  <c r="E4" i="35"/>
  <c r="F4" i="35"/>
  <c r="AP98" i="41" l="1"/>
  <c r="AO103" i="41"/>
  <c r="AO105" i="41" s="1"/>
  <c r="E319" i="8"/>
  <c r="F346" i="8"/>
  <c r="F3" i="23"/>
  <c r="H3" i="23"/>
  <c r="AQ98" i="41" l="1"/>
  <c r="AP103" i="41"/>
  <c r="AP105" i="41" s="1"/>
  <c r="G3" i="23"/>
  <c r="E3" i="23"/>
  <c r="F6" i="23"/>
  <c r="E6" i="23"/>
  <c r="H6" i="23"/>
  <c r="G6" i="23"/>
  <c r="AR98" i="41" l="1"/>
  <c r="AQ103" i="41"/>
  <c r="AQ105" i="41" s="1"/>
  <c r="E4" i="23"/>
  <c r="G4" i="23" s="1"/>
  <c r="AS98" i="41" l="1"/>
  <c r="AR103" i="41"/>
  <c r="AR105" i="41" s="1"/>
  <c r="D45" i="14"/>
  <c r="D39" i="14"/>
  <c r="D28" i="14"/>
  <c r="D31" i="14" s="1"/>
  <c r="C28" i="14" s="1"/>
  <c r="D29" i="14"/>
  <c r="D27" i="14"/>
  <c r="D25" i="14"/>
  <c r="D18" i="14"/>
  <c r="AT98" i="41" l="1"/>
  <c r="AS103" i="41"/>
  <c r="AS105" i="41" s="1"/>
  <c r="C29" i="14"/>
  <c r="C42" i="14"/>
  <c r="C41" i="14"/>
  <c r="C43" i="14"/>
  <c r="C44" i="14"/>
  <c r="C30" i="14"/>
  <c r="C27" i="14"/>
  <c r="C10" i="14"/>
  <c r="AU98" i="41" l="1"/>
  <c r="AT103" i="41"/>
  <c r="AT105" i="41" s="1"/>
  <c r="E8" i="23"/>
  <c r="G8" i="23" s="1"/>
  <c r="G9" i="23" s="1"/>
  <c r="C34" i="13"/>
  <c r="D34" i="13"/>
  <c r="E34" i="13"/>
  <c r="J29" i="8"/>
  <c r="I29" i="8"/>
  <c r="AV98" i="41" l="1"/>
  <c r="AU103" i="41"/>
  <c r="AU105" i="41" s="1"/>
  <c r="I44" i="8"/>
  <c r="F12" i="38" s="1"/>
  <c r="F6" i="38"/>
  <c r="J44" i="8"/>
  <c r="G12" i="38" s="1"/>
  <c r="G6" i="38"/>
  <c r="E9" i="23"/>
  <c r="J218" i="8"/>
  <c r="I218" i="8"/>
  <c r="B23" i="23"/>
  <c r="B29" i="24" s="1"/>
  <c r="B17" i="24" s="1"/>
  <c r="J138" i="8"/>
  <c r="J216" i="8"/>
  <c r="F79" i="37" s="1"/>
  <c r="J99" i="8"/>
  <c r="G88" i="8"/>
  <c r="C30" i="37" s="1"/>
  <c r="H88" i="8"/>
  <c r="D30" i="37" s="1"/>
  <c r="I34" i="13"/>
  <c r="J25" i="8"/>
  <c r="F3" i="37" s="1"/>
  <c r="J34" i="8"/>
  <c r="F6" i="37" s="1"/>
  <c r="H34" i="13"/>
  <c r="J286" i="8" l="1"/>
  <c r="J290" i="8" s="1"/>
  <c r="J61" i="8"/>
  <c r="AW98" i="41"/>
  <c r="AV103" i="41"/>
  <c r="AV105" i="41" s="1"/>
  <c r="J242" i="8"/>
  <c r="J293" i="8"/>
  <c r="J309" i="8" s="1"/>
  <c r="J319" i="8" s="1"/>
  <c r="J330" i="8" s="1"/>
  <c r="N4" i="35"/>
  <c r="M4" i="35"/>
  <c r="C99" i="8"/>
  <c r="F32" i="37"/>
  <c r="G20" i="38"/>
  <c r="E28" i="36"/>
  <c r="E30" i="36" s="1"/>
  <c r="E36" i="36" s="1"/>
  <c r="I62" i="13"/>
  <c r="G28" i="36"/>
  <c r="I242" i="8"/>
  <c r="I61" i="8"/>
  <c r="I286" i="8"/>
  <c r="I290" i="8" s="1"/>
  <c r="H218" i="8"/>
  <c r="I25" i="8"/>
  <c r="E3" i="37" s="1"/>
  <c r="H29" i="8"/>
  <c r="I216" i="8"/>
  <c r="E79" i="37" s="1"/>
  <c r="C88" i="8"/>
  <c r="I34" i="8"/>
  <c r="E6" i="37" s="1"/>
  <c r="G34" i="13"/>
  <c r="D3" i="23"/>
  <c r="G7" i="24" s="1"/>
  <c r="G34" i="8"/>
  <c r="C6" i="37" s="1"/>
  <c r="G218" i="8"/>
  <c r="AX98" i="41" l="1"/>
  <c r="AW103" i="41"/>
  <c r="AW105" i="41" s="1"/>
  <c r="F20" i="38"/>
  <c r="H62" i="13"/>
  <c r="H242" i="8"/>
  <c r="I293" i="8"/>
  <c r="I309" i="8" s="1"/>
  <c r="I319" i="8" s="1"/>
  <c r="I330" i="8" s="1"/>
  <c r="L4" i="35"/>
  <c r="K4" i="35"/>
  <c r="H44" i="8"/>
  <c r="E12" i="38" s="1"/>
  <c r="E6" i="38"/>
  <c r="H286" i="8"/>
  <c r="H290" i="8" s="1"/>
  <c r="G216" i="8"/>
  <c r="C79" i="37" s="1"/>
  <c r="G242" i="8"/>
  <c r="H25" i="8"/>
  <c r="D3" i="37" s="1"/>
  <c r="G29" i="8"/>
  <c r="I9" i="24"/>
  <c r="I10" i="24" s="1"/>
  <c r="L9" i="24"/>
  <c r="L10" i="24" s="1"/>
  <c r="H9" i="24"/>
  <c r="H10" i="24" s="1"/>
  <c r="K9" i="24"/>
  <c r="K10" i="24" s="1"/>
  <c r="G9" i="24"/>
  <c r="G10" i="24" s="1"/>
  <c r="J9" i="24"/>
  <c r="J10" i="24" s="1"/>
  <c r="D4" i="23"/>
  <c r="H216" i="8"/>
  <c r="D79" i="37" s="1"/>
  <c r="F34" i="13"/>
  <c r="G25" i="8"/>
  <c r="C3" i="37" s="1"/>
  <c r="H34" i="8"/>
  <c r="H61" i="8" l="1"/>
  <c r="AY98" i="41"/>
  <c r="AX103" i="41"/>
  <c r="AX105" i="41" s="1"/>
  <c r="H293" i="8"/>
  <c r="H309" i="8" s="1"/>
  <c r="H319" i="8" s="1"/>
  <c r="H330" i="8" s="1"/>
  <c r="I4" i="35"/>
  <c r="J4" i="35"/>
  <c r="G44" i="8"/>
  <c r="D12" i="38" s="1"/>
  <c r="D6" i="38"/>
  <c r="C34" i="8"/>
  <c r="D6" i="37"/>
  <c r="E20" i="38"/>
  <c r="G62" i="13"/>
  <c r="G286" i="8"/>
  <c r="G290" i="8" s="1"/>
  <c r="C216" i="8"/>
  <c r="C25" i="8"/>
  <c r="F4" i="23"/>
  <c r="G104" i="13"/>
  <c r="G110" i="13"/>
  <c r="H40" i="13"/>
  <c r="I40" i="13"/>
  <c r="G40" i="13"/>
  <c r="G61" i="8" l="1"/>
  <c r="AZ98" i="41"/>
  <c r="AY103" i="41"/>
  <c r="AY105" i="41" s="1"/>
  <c r="D20" i="38"/>
  <c r="F62" i="13"/>
  <c r="G293" i="8"/>
  <c r="G309" i="8" s="1"/>
  <c r="G319" i="8" s="1"/>
  <c r="G330" i="8" s="1"/>
  <c r="G4" i="35"/>
  <c r="H4" i="35"/>
  <c r="H4" i="23"/>
  <c r="H80" i="13"/>
  <c r="I80" i="13"/>
  <c r="G80" i="13"/>
  <c r="I88" i="13"/>
  <c r="G346" i="8" l="1"/>
  <c r="AZ103" i="41"/>
  <c r="AZ105" i="41" s="1"/>
  <c r="BA98" i="41"/>
  <c r="BA103" i="41" s="1"/>
  <c r="BA105" i="41" s="1"/>
  <c r="D104" i="13"/>
  <c r="E104" i="13"/>
  <c r="F104" i="13"/>
  <c r="H104" i="13"/>
  <c r="I104" i="13"/>
  <c r="C104" i="13"/>
  <c r="D8" i="23" l="1"/>
  <c r="F8" i="23" s="1"/>
  <c r="F9" i="23" s="1"/>
  <c r="C106" i="13"/>
  <c r="H8" i="23" l="1"/>
  <c r="H9" i="23" s="1"/>
  <c r="D105" i="13"/>
  <c r="E105" i="13"/>
  <c r="F105" i="13"/>
  <c r="G105" i="13"/>
  <c r="H105" i="13"/>
  <c r="C98" i="13"/>
  <c r="C53" i="13" s="1"/>
  <c r="C97" i="13"/>
  <c r="D94" i="13"/>
  <c r="E94" i="13"/>
  <c r="F94" i="13"/>
  <c r="G94" i="13"/>
  <c r="H94" i="13"/>
  <c r="I94" i="13"/>
  <c r="C94" i="13"/>
  <c r="D110" i="13"/>
  <c r="E110" i="13"/>
  <c r="F110" i="13"/>
  <c r="H110" i="13"/>
  <c r="I110" i="13"/>
  <c r="D88" i="13"/>
  <c r="E88" i="13"/>
  <c r="F88" i="13"/>
  <c r="G88" i="13"/>
  <c r="H88" i="13"/>
  <c r="C88" i="13"/>
  <c r="D81" i="13"/>
  <c r="D57" i="13" s="1"/>
  <c r="E81" i="13"/>
  <c r="E57" i="13" s="1"/>
  <c r="F81" i="13"/>
  <c r="F57" i="13" s="1"/>
  <c r="G81" i="13"/>
  <c r="G57" i="13" s="1"/>
  <c r="H81" i="13"/>
  <c r="H57" i="13" s="1"/>
  <c r="I81" i="13"/>
  <c r="I57" i="13" s="1"/>
  <c r="C81" i="13"/>
  <c r="C57" i="13" s="1"/>
  <c r="D80" i="13"/>
  <c r="E80" i="13"/>
  <c r="F80" i="13"/>
  <c r="C80" i="13"/>
  <c r="C79" i="13"/>
  <c r="C49" i="13" s="1"/>
  <c r="D78" i="13"/>
  <c r="E78" i="13"/>
  <c r="F78" i="13"/>
  <c r="G78" i="13"/>
  <c r="H78" i="13"/>
  <c r="I78" i="13"/>
  <c r="C78" i="13"/>
  <c r="D77" i="13"/>
  <c r="E77" i="13"/>
  <c r="E64" i="13" s="1"/>
  <c r="F77" i="13"/>
  <c r="F64" i="13" s="1"/>
  <c r="G77" i="13"/>
  <c r="G64" i="13" s="1"/>
  <c r="H77" i="13"/>
  <c r="H64" i="13" s="1"/>
  <c r="I77" i="13"/>
  <c r="I64" i="13" s="1"/>
  <c r="C77" i="13"/>
  <c r="D74" i="13"/>
  <c r="E74" i="13"/>
  <c r="E32" i="13" s="1"/>
  <c r="F74" i="13"/>
  <c r="G74" i="13"/>
  <c r="H74" i="13"/>
  <c r="I74" i="13"/>
  <c r="I32" i="13" s="1"/>
  <c r="C74" i="13"/>
  <c r="D73" i="13"/>
  <c r="E73" i="13"/>
  <c r="F73" i="13"/>
  <c r="G73" i="13"/>
  <c r="H73" i="13"/>
  <c r="I73" i="13"/>
  <c r="C73" i="13"/>
  <c r="D40" i="13"/>
  <c r="E40" i="13"/>
  <c r="F40" i="13"/>
  <c r="C40" i="13"/>
  <c r="D35" i="13"/>
  <c r="E35" i="13"/>
  <c r="F35" i="13"/>
  <c r="G35" i="13"/>
  <c r="H35" i="13"/>
  <c r="I35" i="13"/>
  <c r="C35" i="13"/>
  <c r="A74" i="13"/>
  <c r="A75" i="13" s="1"/>
  <c r="A76" i="13" s="1"/>
  <c r="A77" i="13" s="1"/>
  <c r="A78" i="13" s="1"/>
  <c r="A79" i="13" s="1"/>
  <c r="A80" i="13" s="1"/>
  <c r="A81" i="13" s="1"/>
  <c r="A82" i="13" s="1"/>
  <c r="A83" i="13" s="1"/>
  <c r="A94" i="13" s="1"/>
  <c r="A95" i="13" s="1"/>
  <c r="A96" i="13" s="1"/>
  <c r="A97" i="13" s="1"/>
  <c r="A98" i="13" s="1"/>
  <c r="A99" i="13" s="1"/>
  <c r="H65" i="13" l="1"/>
  <c r="F65" i="13"/>
  <c r="E65" i="13"/>
  <c r="G65" i="13"/>
  <c r="I65" i="13"/>
  <c r="D32" i="13"/>
  <c r="G7" i="13"/>
  <c r="H7" i="13"/>
  <c r="D18" i="24"/>
  <c r="B18" i="24" s="1"/>
  <c r="F7" i="13"/>
  <c r="I7" i="13"/>
  <c r="E7" i="13"/>
  <c r="G60" i="13"/>
  <c r="C60" i="13"/>
  <c r="I60" i="13"/>
  <c r="H60" i="13"/>
  <c r="D60" i="13"/>
  <c r="F60" i="13"/>
  <c r="E60" i="13"/>
  <c r="E33" i="13"/>
  <c r="G33" i="13"/>
  <c r="I33" i="13"/>
  <c r="C33" i="13"/>
  <c r="F33" i="13"/>
  <c r="H33" i="13"/>
  <c r="D33" i="13"/>
  <c r="C32" i="13"/>
  <c r="C54" i="13"/>
  <c r="C110" i="13"/>
  <c r="C52" i="13" s="1"/>
  <c r="G32" i="13"/>
  <c r="G8" i="13"/>
  <c r="D8" i="13"/>
  <c r="H32" i="13"/>
  <c r="H10" i="13"/>
  <c r="H8" i="13"/>
  <c r="C8" i="13"/>
  <c r="C12" i="13"/>
  <c r="F10" i="13"/>
  <c r="D10" i="13"/>
  <c r="F32" i="13"/>
  <c r="D7" i="13"/>
  <c r="G10" i="13"/>
  <c r="I8" i="13"/>
  <c r="E10" i="13"/>
  <c r="F8" i="13"/>
  <c r="E8" i="13"/>
  <c r="I43" i="13"/>
  <c r="H1" i="23" l="1"/>
  <c r="I105" i="13"/>
  <c r="I10" i="13" s="1"/>
  <c r="C105" i="13"/>
  <c r="C10" i="13" s="1"/>
  <c r="J127" i="8" l="1"/>
  <c r="F43" i="37" s="1"/>
  <c r="G1" i="23"/>
  <c r="I83" i="13"/>
  <c r="I87" i="13"/>
  <c r="H87" i="13"/>
  <c r="H83" i="13"/>
  <c r="D87" i="13"/>
  <c r="D83" i="13"/>
  <c r="E127" i="8"/>
  <c r="F127" i="8"/>
  <c r="B43" i="37" s="1"/>
  <c r="D30" i="13" l="1"/>
  <c r="D31" i="13"/>
  <c r="H30" i="13"/>
  <c r="H31" i="13"/>
  <c r="I30" i="13"/>
  <c r="I31" i="13"/>
  <c r="G127" i="8"/>
  <c r="C43" i="37" s="1"/>
  <c r="G83" i="13"/>
  <c r="H127" i="8"/>
  <c r="D43" i="37" s="1"/>
  <c r="I127" i="8"/>
  <c r="E43" i="37" s="1"/>
  <c r="F1" i="23"/>
  <c r="H43" i="13"/>
  <c r="G87" i="13"/>
  <c r="E87" i="13"/>
  <c r="E83" i="13"/>
  <c r="D43" i="13"/>
  <c r="F87" i="13"/>
  <c r="F83" i="13"/>
  <c r="C83" i="13"/>
  <c r="C87" i="13"/>
  <c r="C337" i="8"/>
  <c r="C336" i="8"/>
  <c r="B327" i="8"/>
  <c r="B325" i="8"/>
  <c r="B324" i="8"/>
  <c r="C323" i="8"/>
  <c r="C322" i="8"/>
  <c r="C321" i="8"/>
  <c r="B314" i="8"/>
  <c r="C307" i="8"/>
  <c r="C306" i="8"/>
  <c r="C305" i="8"/>
  <c r="C304" i="8"/>
  <c r="C301" i="8"/>
  <c r="C300" i="8"/>
  <c r="C299" i="8"/>
  <c r="C298" i="8"/>
  <c r="C297" i="8"/>
  <c r="C296" i="8"/>
  <c r="C295" i="8"/>
  <c r="C294" i="8"/>
  <c r="F281" i="8"/>
  <c r="E281" i="8"/>
  <c r="D281" i="8"/>
  <c r="F259" i="8"/>
  <c r="D259" i="8"/>
  <c r="F257" i="8"/>
  <c r="E257" i="8"/>
  <c r="D257" i="8"/>
  <c r="F189" i="8"/>
  <c r="E189" i="8"/>
  <c r="D189" i="8"/>
  <c r="C186" i="8"/>
  <c r="C93" i="13"/>
  <c r="F96" i="8"/>
  <c r="E96" i="8"/>
  <c r="D96" i="8"/>
  <c r="D19" i="8"/>
  <c r="C18" i="8"/>
  <c r="C95" i="8" s="1"/>
  <c r="C188" i="8" s="1"/>
  <c r="C284" i="8" s="1"/>
  <c r="A18" i="8"/>
  <c r="A95" i="8" s="1"/>
  <c r="A188" i="8" s="1"/>
  <c r="A284" i="8" s="1"/>
  <c r="D16" i="8"/>
  <c r="D93" i="8" s="1"/>
  <c r="D186" i="8" s="1"/>
  <c r="D282" i="8" s="1"/>
  <c r="F338" i="8" l="1"/>
  <c r="F340" i="8" s="1"/>
  <c r="E258" i="8"/>
  <c r="G30" i="13"/>
  <c r="G31" i="13"/>
  <c r="E30" i="13"/>
  <c r="E31" i="13"/>
  <c r="F30" i="13"/>
  <c r="F31" i="13"/>
  <c r="C30" i="13"/>
  <c r="C31" i="13"/>
  <c r="E229" i="8"/>
  <c r="F258" i="8"/>
  <c r="B97" i="37" s="1"/>
  <c r="F229" i="8"/>
  <c r="B84" i="37" s="1"/>
  <c r="C127" i="8"/>
  <c r="E260" i="8"/>
  <c r="F260" i="8"/>
  <c r="B98" i="37" s="1"/>
  <c r="F150" i="8"/>
  <c r="B53" i="37" s="1"/>
  <c r="E93" i="13"/>
  <c r="F176" i="8"/>
  <c r="B64" i="37" s="1"/>
  <c r="E150" i="8"/>
  <c r="D93" i="13"/>
  <c r="E176" i="8"/>
  <c r="E64" i="8"/>
  <c r="F64" i="8"/>
  <c r="B20" i="37" s="1"/>
  <c r="E1" i="23"/>
  <c r="F43" i="13"/>
  <c r="E43" i="13"/>
  <c r="G43" i="13"/>
  <c r="E86" i="13"/>
  <c r="E75" i="13"/>
  <c r="E9" i="13" s="1"/>
  <c r="D75" i="13"/>
  <c r="D9" i="13" s="1"/>
  <c r="C43" i="13"/>
  <c r="C86" i="13"/>
  <c r="D154" i="8"/>
  <c r="E320" i="8" s="1"/>
  <c r="E98" i="13"/>
  <c r="F111" i="8"/>
  <c r="B37" i="37" s="1"/>
  <c r="D98" i="13"/>
  <c r="C90" i="13"/>
  <c r="C25" i="13" s="1"/>
  <c r="F348" i="8" l="1"/>
  <c r="F349" i="8" s="1"/>
  <c r="D64" i="13"/>
  <c r="D65" i="13"/>
  <c r="F52" i="35"/>
  <c r="E52" i="35"/>
  <c r="E53" i="35" s="1"/>
  <c r="D178" i="8"/>
  <c r="D181" i="8" s="1"/>
  <c r="C28" i="13"/>
  <c r="C41" i="13" s="1"/>
  <c r="C29" i="13"/>
  <c r="E28" i="13"/>
  <c r="E41" i="13" s="1"/>
  <c r="E29" i="13"/>
  <c r="C24" i="13"/>
  <c r="E219" i="8"/>
  <c r="E90" i="13"/>
  <c r="F219" i="8"/>
  <c r="B80" i="37" s="1"/>
  <c r="E103" i="13"/>
  <c r="E107" i="13"/>
  <c r="F181" i="8"/>
  <c r="D86" i="13"/>
  <c r="E111" i="8"/>
  <c r="E76" i="13"/>
  <c r="E11" i="13" s="1"/>
  <c r="F45" i="8"/>
  <c r="B11" i="37" s="1"/>
  <c r="D76" i="13"/>
  <c r="D11" i="13" s="1"/>
  <c r="C107" i="13"/>
  <c r="D79" i="13"/>
  <c r="D14" i="13" s="1"/>
  <c r="D90" i="13"/>
  <c r="E26" i="13"/>
  <c r="E85" i="13"/>
  <c r="C26" i="13"/>
  <c r="C39" i="13" s="1"/>
  <c r="C103" i="13"/>
  <c r="C85" i="13"/>
  <c r="E45" i="8"/>
  <c r="C75" i="13"/>
  <c r="C9" i="13" s="1"/>
  <c r="E139" i="8"/>
  <c r="C89" i="13"/>
  <c r="C108" i="13" s="1"/>
  <c r="C67" i="38" l="1"/>
  <c r="C74" i="38"/>
  <c r="C101" i="38"/>
  <c r="C82" i="38"/>
  <c r="C87" i="38"/>
  <c r="C69" i="38"/>
  <c r="C76" i="38"/>
  <c r="C104" i="38"/>
  <c r="C72" i="38"/>
  <c r="C84" i="38"/>
  <c r="C88" i="38"/>
  <c r="C83" i="38"/>
  <c r="C92" i="38"/>
  <c r="C80" i="38"/>
  <c r="C103" i="38"/>
  <c r="C86" i="38"/>
  <c r="C71" i="38"/>
  <c r="C94" i="38"/>
  <c r="C79" i="38"/>
  <c r="C95" i="38"/>
  <c r="C102" i="38"/>
  <c r="C70" i="38"/>
  <c r="C73" i="38"/>
  <c r="C93" i="38"/>
  <c r="C90" i="38"/>
  <c r="C77" i="38"/>
  <c r="C75" i="38"/>
  <c r="C78" i="38"/>
  <c r="C89" i="38"/>
  <c r="C55" i="38"/>
  <c r="C62" i="38"/>
  <c r="C34" i="38"/>
  <c r="C33" i="38"/>
  <c r="C39" i="38"/>
  <c r="C57" i="38"/>
  <c r="C50" i="38"/>
  <c r="C58" i="38"/>
  <c r="C51" i="38"/>
  <c r="C45" i="38"/>
  <c r="C59" i="38"/>
  <c r="C63" i="38"/>
  <c r="C46" i="38"/>
  <c r="C68" i="38"/>
  <c r="C64" i="38"/>
  <c r="C47" i="38"/>
  <c r="C41" i="38"/>
  <c r="C60" i="38"/>
  <c r="C43" i="38"/>
  <c r="C40" i="38"/>
  <c r="C52" i="38"/>
  <c r="C42" i="38"/>
  <c r="C35" i="38"/>
  <c r="C36" i="38"/>
  <c r="C48" i="38"/>
  <c r="C61" i="38"/>
  <c r="C53" i="38"/>
  <c r="C37" i="38"/>
  <c r="C85" i="38"/>
  <c r="C81" i="38"/>
  <c r="C91" i="38"/>
  <c r="C38" i="38"/>
  <c r="C65" i="38"/>
  <c r="C54" i="38"/>
  <c r="C44" i="38"/>
  <c r="C66" i="38"/>
  <c r="C56" i="38"/>
  <c r="C49" i="38"/>
  <c r="C98" i="38"/>
  <c r="C99" i="38"/>
  <c r="E347" i="8"/>
  <c r="E349" i="8" s="1"/>
  <c r="E330" i="8"/>
  <c r="E340" i="8" s="1"/>
  <c r="C101" i="13"/>
  <c r="C44" i="13" s="1"/>
  <c r="E343" i="8"/>
  <c r="E351" i="8"/>
  <c r="D28" i="13"/>
  <c r="D41" i="13" s="1"/>
  <c r="D29" i="13"/>
  <c r="D24" i="13"/>
  <c r="D25" i="13"/>
  <c r="E24" i="13"/>
  <c r="E25" i="13"/>
  <c r="E51" i="13"/>
  <c r="D51" i="13"/>
  <c r="D1" i="23"/>
  <c r="E89" i="13"/>
  <c r="E108" i="13" s="1"/>
  <c r="F243" i="8"/>
  <c r="B90" i="37" s="1"/>
  <c r="D89" i="13"/>
  <c r="D108" i="13" s="1"/>
  <c r="E243" i="8"/>
  <c r="F155" i="8"/>
  <c r="B55" i="37" s="1"/>
  <c r="F139" i="8"/>
  <c r="B48" i="37" s="1"/>
  <c r="E101" i="13"/>
  <c r="E44" i="13" s="1"/>
  <c r="E155" i="8"/>
  <c r="D103" i="13"/>
  <c r="D107" i="13"/>
  <c r="E179" i="8"/>
  <c r="F62" i="8"/>
  <c r="B19" i="37" s="1"/>
  <c r="D49" i="13"/>
  <c r="D52" i="13"/>
  <c r="F70" i="8"/>
  <c r="E15" i="13"/>
  <c r="E70" i="8"/>
  <c r="D15" i="13"/>
  <c r="E23" i="13"/>
  <c r="C48" i="13"/>
  <c r="C23" i="13"/>
  <c r="D106" i="13"/>
  <c r="D54" i="13" s="1"/>
  <c r="D12" i="13"/>
  <c r="D26" i="13"/>
  <c r="D85" i="13"/>
  <c r="E106" i="13"/>
  <c r="E54" i="13" s="1"/>
  <c r="E79" i="13"/>
  <c r="E14" i="13" s="1"/>
  <c r="C42" i="13"/>
  <c r="E62" i="8"/>
  <c r="C76" i="13"/>
  <c r="E81" i="8" l="1"/>
  <c r="B24" i="38"/>
  <c r="F81" i="8"/>
  <c r="C24" i="38"/>
  <c r="E52" i="13"/>
  <c r="E13" i="13"/>
  <c r="C51" i="13"/>
  <c r="C11" i="13"/>
  <c r="E181" i="8"/>
  <c r="E42" i="13"/>
  <c r="E48" i="13"/>
  <c r="F179" i="8"/>
  <c r="B65" i="37" s="1"/>
  <c r="E255" i="8"/>
  <c r="B97" i="38" s="1"/>
  <c r="F71" i="8"/>
  <c r="B23" i="37" s="1"/>
  <c r="E100" i="13"/>
  <c r="E17" i="13" s="1"/>
  <c r="D100" i="13"/>
  <c r="D17" i="13" s="1"/>
  <c r="D70" i="8"/>
  <c r="D81" i="8" s="1"/>
  <c r="D90" i="8" s="1"/>
  <c r="C15" i="13"/>
  <c r="D23" i="13"/>
  <c r="D97" i="13"/>
  <c r="D53" i="13" s="1"/>
  <c r="E97" i="13"/>
  <c r="E53" i="13" s="1"/>
  <c r="E12" i="13"/>
  <c r="E49" i="13"/>
  <c r="F90" i="8" l="1"/>
  <c r="C32" i="38" s="1"/>
  <c r="C28" i="38"/>
  <c r="B67" i="38"/>
  <c r="B88" i="38"/>
  <c r="B61" i="38"/>
  <c r="B80" i="38"/>
  <c r="B82" i="38"/>
  <c r="B37" i="38"/>
  <c r="B84" i="38"/>
  <c r="B101" i="38"/>
  <c r="B79" i="38"/>
  <c r="B36" i="38"/>
  <c r="B41" i="38"/>
  <c r="B102" i="38"/>
  <c r="B68" i="38"/>
  <c r="B90" i="38"/>
  <c r="B92" i="38"/>
  <c r="B74" i="38"/>
  <c r="B46" i="38"/>
  <c r="B94" i="38"/>
  <c r="B34" i="38"/>
  <c r="B104" i="38"/>
  <c r="B55" i="38"/>
  <c r="B50" i="38"/>
  <c r="B71" i="38"/>
  <c r="B60" i="38"/>
  <c r="B53" i="38"/>
  <c r="B89" i="38"/>
  <c r="B52" i="38"/>
  <c r="B63" i="38"/>
  <c r="B64" i="38"/>
  <c r="B86" i="38"/>
  <c r="B59" i="38"/>
  <c r="B47" i="38"/>
  <c r="B77" i="38"/>
  <c r="B93" i="38"/>
  <c r="B33" i="38"/>
  <c r="B103" i="38"/>
  <c r="B62" i="38"/>
  <c r="B39" i="38"/>
  <c r="B95" i="38"/>
  <c r="B69" i="38"/>
  <c r="B73" i="38"/>
  <c r="B70" i="38"/>
  <c r="B48" i="38"/>
  <c r="B42" i="38"/>
  <c r="B45" i="38"/>
  <c r="B43" i="38"/>
  <c r="B78" i="38"/>
  <c r="B51" i="38"/>
  <c r="B40" i="38"/>
  <c r="B72" i="38"/>
  <c r="B75" i="38"/>
  <c r="B58" i="38"/>
  <c r="B87" i="38"/>
  <c r="B35" i="38"/>
  <c r="B83" i="38"/>
  <c r="B57" i="38"/>
  <c r="B76" i="38"/>
  <c r="B85" i="38"/>
  <c r="B81" i="38"/>
  <c r="B65" i="38"/>
  <c r="B44" i="38"/>
  <c r="B91" i="38"/>
  <c r="B38" i="38"/>
  <c r="B54" i="38"/>
  <c r="B49" i="38"/>
  <c r="B56" i="38"/>
  <c r="B66" i="38"/>
  <c r="B99" i="38"/>
  <c r="B98" i="38"/>
  <c r="E90" i="8"/>
  <c r="B32" i="38" s="1"/>
  <c r="B28" i="38"/>
  <c r="F182" i="8"/>
  <c r="B66" i="37" s="1"/>
  <c r="F343" i="8"/>
  <c r="F351" i="8"/>
  <c r="E182" i="8"/>
  <c r="D101" i="13"/>
  <c r="D48" i="13" s="1"/>
  <c r="F82" i="8"/>
  <c r="B27" i="37" s="1"/>
  <c r="E82" i="13"/>
  <c r="E56" i="13" s="1"/>
  <c r="E71" i="8"/>
  <c r="F255" i="8"/>
  <c r="D82" i="13"/>
  <c r="D56" i="13" s="1"/>
  <c r="E82" i="8"/>
  <c r="C100" i="13"/>
  <c r="C17" i="13" s="1"/>
  <c r="C82" i="13"/>
  <c r="C56" i="13" s="1"/>
  <c r="E91" i="8"/>
  <c r="D255" i="8"/>
  <c r="D262" i="8" s="1"/>
  <c r="G189" i="8"/>
  <c r="H189" i="8"/>
  <c r="I189" i="8"/>
  <c r="J189" i="8"/>
  <c r="G111" i="8"/>
  <c r="C37" i="37" s="1"/>
  <c r="F256" i="8" l="1"/>
  <c r="B96" i="37" s="1"/>
  <c r="C97" i="38"/>
  <c r="F91" i="8"/>
  <c r="B31" i="37" s="1"/>
  <c r="D58" i="13"/>
  <c r="D59" i="13"/>
  <c r="E58" i="13"/>
  <c r="E59" i="13"/>
  <c r="C58" i="13"/>
  <c r="C59" i="13"/>
  <c r="D274" i="8"/>
  <c r="C102" i="13" s="1"/>
  <c r="C61" i="13" s="1"/>
  <c r="E253" i="8"/>
  <c r="E18" i="13"/>
  <c r="D44" i="13"/>
  <c r="D42" i="13"/>
  <c r="E16" i="13"/>
  <c r="E256" i="8"/>
  <c r="G86" i="13"/>
  <c r="H111" i="8"/>
  <c r="D37" i="37" s="1"/>
  <c r="D18" i="13"/>
  <c r="D16" i="13"/>
  <c r="I86" i="13"/>
  <c r="G139" i="8"/>
  <c r="C48" i="37" s="1"/>
  <c r="F86" i="13"/>
  <c r="C18" i="13"/>
  <c r="C16" i="13"/>
  <c r="J111" i="8"/>
  <c r="F37" i="37" s="1"/>
  <c r="G257" i="8"/>
  <c r="I257" i="8"/>
  <c r="J257" i="8"/>
  <c r="G229" i="8"/>
  <c r="C84" i="37" s="1"/>
  <c r="G96" i="8"/>
  <c r="H96" i="8"/>
  <c r="I96" i="8"/>
  <c r="J96" i="8"/>
  <c r="G258" i="8" l="1"/>
  <c r="C97" i="37" s="1"/>
  <c r="E262" i="8"/>
  <c r="B100" i="38" s="1"/>
  <c r="B96" i="38"/>
  <c r="G28" i="13"/>
  <c r="G41" i="13" s="1"/>
  <c r="G29" i="13"/>
  <c r="I28" i="13"/>
  <c r="I41" i="13" s="1"/>
  <c r="I29" i="13"/>
  <c r="F28" i="13"/>
  <c r="F41" i="13" s="1"/>
  <c r="F29" i="13"/>
  <c r="D6" i="23"/>
  <c r="D9" i="23" s="1"/>
  <c r="I229" i="8"/>
  <c r="E84" i="37" s="1"/>
  <c r="I258" i="8"/>
  <c r="E97" i="37" s="1"/>
  <c r="J258" i="8"/>
  <c r="F97" i="37" s="1"/>
  <c r="H229" i="8"/>
  <c r="D84" i="37" s="1"/>
  <c r="H258" i="8"/>
  <c r="D97" i="37" s="1"/>
  <c r="J229" i="8"/>
  <c r="F84" i="37" s="1"/>
  <c r="E254" i="8"/>
  <c r="H139" i="8"/>
  <c r="D48" i="37" s="1"/>
  <c r="F93" i="13"/>
  <c r="G176" i="8"/>
  <c r="C64" i="37" s="1"/>
  <c r="H86" i="13"/>
  <c r="I111" i="8"/>
  <c r="I85" i="13"/>
  <c r="F85" i="13"/>
  <c r="G85" i="13"/>
  <c r="D276" i="8"/>
  <c r="D280" i="8" s="1"/>
  <c r="C50" i="13"/>
  <c r="C21" i="13" s="1"/>
  <c r="C95" i="13"/>
  <c r="I139" i="8"/>
  <c r="E48" i="37" s="1"/>
  <c r="H98" i="13"/>
  <c r="I98" i="13"/>
  <c r="F253" i="8" l="1"/>
  <c r="C96" i="38" s="1"/>
  <c r="E274" i="8"/>
  <c r="B105" i="38" s="1"/>
  <c r="C111" i="8"/>
  <c r="E37" i="37"/>
  <c r="H28" i="13"/>
  <c r="H41" i="13" s="1"/>
  <c r="H29" i="13"/>
  <c r="C46" i="13"/>
  <c r="C99" i="13"/>
  <c r="C258" i="8"/>
  <c r="C229" i="8"/>
  <c r="E263" i="8"/>
  <c r="J139" i="8"/>
  <c r="G93" i="13"/>
  <c r="H176" i="8"/>
  <c r="D64" i="37" s="1"/>
  <c r="H85" i="13"/>
  <c r="C47" i="13"/>
  <c r="C96" i="13"/>
  <c r="C139" i="8" l="1"/>
  <c r="F48" i="37"/>
  <c r="C19" i="13"/>
  <c r="E275" i="8"/>
  <c r="F262" i="8"/>
  <c r="C100" i="38" s="1"/>
  <c r="H93" i="13"/>
  <c r="I176" i="8"/>
  <c r="E64" i="37" s="1"/>
  <c r="K28" i="2"/>
  <c r="R28" i="2" s="1"/>
  <c r="Y28" i="2" s="1"/>
  <c r="AF28" i="2" s="1"/>
  <c r="AM28" i="2" s="1"/>
  <c r="AT28" i="2" s="1"/>
  <c r="C151" i="2"/>
  <c r="R151" i="2"/>
  <c r="D151" i="2"/>
  <c r="W151" i="2"/>
  <c r="X151" i="2"/>
  <c r="Y151" i="2"/>
  <c r="G151" i="2"/>
  <c r="L26" i="2"/>
  <c r="S26" i="2" s="1"/>
  <c r="Z26" i="2" s="1"/>
  <c r="AG26" i="2" s="1"/>
  <c r="AN26" i="2" s="1"/>
  <c r="AU26" i="2" s="1"/>
  <c r="BB26" i="2" s="1"/>
  <c r="BI26" i="2" s="1"/>
  <c r="BP26" i="2" s="1"/>
  <c r="BW26" i="2" s="1"/>
  <c r="CD26" i="2" s="1"/>
  <c r="CK26" i="2" s="1"/>
  <c r="CR26" i="2" s="1"/>
  <c r="CY26" i="2" s="1"/>
  <c r="DF26" i="2" s="1"/>
  <c r="DM26" i="2" s="1"/>
  <c r="DT26" i="2" s="1"/>
  <c r="EA26" i="2" s="1"/>
  <c r="EH26" i="2" s="1"/>
  <c r="EO26" i="2" s="1"/>
  <c r="EV26" i="2" s="1"/>
  <c r="FC26" i="2" s="1"/>
  <c r="FJ26" i="2" s="1"/>
  <c r="FQ26" i="2" s="1"/>
  <c r="FX26" i="2" s="1"/>
  <c r="GE26" i="2" s="1"/>
  <c r="GL26" i="2" s="1"/>
  <c r="GS26" i="2" s="1"/>
  <c r="GZ26" i="2" s="1"/>
  <c r="HG26" i="2" s="1"/>
  <c r="HN26" i="2" s="1"/>
  <c r="HU26" i="2" s="1"/>
  <c r="IB26" i="2" s="1"/>
  <c r="II26" i="2" s="1"/>
  <c r="G82" i="2"/>
  <c r="AN50" i="2"/>
  <c r="L50" i="2"/>
  <c r="H82" i="2"/>
  <c r="AO50" i="2"/>
  <c r="M50" i="2"/>
  <c r="D82" i="2"/>
  <c r="AQ50" i="2"/>
  <c r="O50" i="2"/>
  <c r="K26" i="2"/>
  <c r="R26" i="2" s="1"/>
  <c r="Y26" i="2" s="1"/>
  <c r="AF26" i="2" s="1"/>
  <c r="AM26" i="2" s="1"/>
  <c r="AT26" i="2" s="1"/>
  <c r="BA26" i="2" s="1"/>
  <c r="BH26" i="2" s="1"/>
  <c r="BO26" i="2" s="1"/>
  <c r="BV26" i="2" s="1"/>
  <c r="CC26" i="2" s="1"/>
  <c r="CJ26" i="2" s="1"/>
  <c r="CQ26" i="2" s="1"/>
  <c r="CX26" i="2" s="1"/>
  <c r="DE26" i="2" s="1"/>
  <c r="DL26" i="2" s="1"/>
  <c r="DS26" i="2" s="1"/>
  <c r="DZ26" i="2" s="1"/>
  <c r="EG26" i="2" s="1"/>
  <c r="EN26" i="2" s="1"/>
  <c r="EU26" i="2" s="1"/>
  <c r="FB26" i="2" s="1"/>
  <c r="FI26" i="2" s="1"/>
  <c r="FP26" i="2" s="1"/>
  <c r="FW26" i="2" s="1"/>
  <c r="GD26" i="2" s="1"/>
  <c r="GK26" i="2" s="1"/>
  <c r="GR26" i="2" s="1"/>
  <c r="GY26" i="2" s="1"/>
  <c r="HF26" i="2" s="1"/>
  <c r="HM26" i="2" s="1"/>
  <c r="HT26" i="2" s="1"/>
  <c r="IA26" i="2" s="1"/>
  <c r="IH26" i="2" s="1"/>
  <c r="IO26" i="2" s="1"/>
  <c r="M26" i="2"/>
  <c r="T26" i="2" s="1"/>
  <c r="AA26" i="2" s="1"/>
  <c r="AH26" i="2" s="1"/>
  <c r="AO26" i="2" s="1"/>
  <c r="AV26" i="2" s="1"/>
  <c r="BC26" i="2" s="1"/>
  <c r="BJ26" i="2" s="1"/>
  <c r="BQ26" i="2" s="1"/>
  <c r="BX26" i="2" s="1"/>
  <c r="CE26" i="2" s="1"/>
  <c r="CL26" i="2" s="1"/>
  <c r="CS26" i="2" s="1"/>
  <c r="CZ26" i="2" s="1"/>
  <c r="DG26" i="2" s="1"/>
  <c r="DN26" i="2" s="1"/>
  <c r="DU26" i="2" s="1"/>
  <c r="EB26" i="2" s="1"/>
  <c r="EI26" i="2" s="1"/>
  <c r="EP26" i="2" s="1"/>
  <c r="EW26" i="2" s="1"/>
  <c r="FD26" i="2" s="1"/>
  <c r="FK26" i="2" s="1"/>
  <c r="FR26" i="2" s="1"/>
  <c r="FY26" i="2" s="1"/>
  <c r="GF26" i="2" s="1"/>
  <c r="GM26" i="2" s="1"/>
  <c r="GT26" i="2" s="1"/>
  <c r="HA26" i="2" s="1"/>
  <c r="HH26" i="2" s="1"/>
  <c r="HO26" i="2" s="1"/>
  <c r="HV26" i="2" s="1"/>
  <c r="IC26" i="2" s="1"/>
  <c r="IJ26" i="2" s="1"/>
  <c r="N26" i="2"/>
  <c r="U26" i="2" s="1"/>
  <c r="AB26" i="2" s="1"/>
  <c r="AI26" i="2" s="1"/>
  <c r="AP26" i="2" s="1"/>
  <c r="AW26" i="2" s="1"/>
  <c r="BD26" i="2" s="1"/>
  <c r="BK26" i="2" s="1"/>
  <c r="BR26" i="2" s="1"/>
  <c r="BY26" i="2" s="1"/>
  <c r="CF26" i="2" s="1"/>
  <c r="CM26" i="2" s="1"/>
  <c r="CT26" i="2" s="1"/>
  <c r="DA26" i="2" s="1"/>
  <c r="DH26" i="2" s="1"/>
  <c r="DO26" i="2" s="1"/>
  <c r="DV26" i="2" s="1"/>
  <c r="EC26" i="2" s="1"/>
  <c r="EJ26" i="2" s="1"/>
  <c r="EQ26" i="2" s="1"/>
  <c r="EX26" i="2" s="1"/>
  <c r="FE26" i="2" s="1"/>
  <c r="FL26" i="2" s="1"/>
  <c r="FS26" i="2" s="1"/>
  <c r="FZ26" i="2" s="1"/>
  <c r="GG26" i="2" s="1"/>
  <c r="GN26" i="2" s="1"/>
  <c r="GU26" i="2" s="1"/>
  <c r="HB26" i="2" s="1"/>
  <c r="HI26" i="2" s="1"/>
  <c r="HP26" i="2" s="1"/>
  <c r="HW26" i="2" s="1"/>
  <c r="ID26" i="2" s="1"/>
  <c r="IK26" i="2" s="1"/>
  <c r="O26" i="2"/>
  <c r="V26" i="2" s="1"/>
  <c r="AC26" i="2" s="1"/>
  <c r="AJ26" i="2" s="1"/>
  <c r="AQ26" i="2" s="1"/>
  <c r="AX26" i="2" s="1"/>
  <c r="BE26" i="2" s="1"/>
  <c r="BL26" i="2" s="1"/>
  <c r="BS26" i="2" s="1"/>
  <c r="BZ26" i="2" s="1"/>
  <c r="CG26" i="2" s="1"/>
  <c r="CN26" i="2" s="1"/>
  <c r="CU26" i="2" s="1"/>
  <c r="DB26" i="2" s="1"/>
  <c r="DI26" i="2" s="1"/>
  <c r="DP26" i="2" s="1"/>
  <c r="DW26" i="2" s="1"/>
  <c r="ED26" i="2" s="1"/>
  <c r="EK26" i="2" s="1"/>
  <c r="ER26" i="2" s="1"/>
  <c r="EY26" i="2" s="1"/>
  <c r="FF26" i="2" s="1"/>
  <c r="FM26" i="2" s="1"/>
  <c r="FT26" i="2" s="1"/>
  <c r="GA26" i="2" s="1"/>
  <c r="GH26" i="2" s="1"/>
  <c r="GO26" i="2" s="1"/>
  <c r="GV26" i="2" s="1"/>
  <c r="HC26" i="2" s="1"/>
  <c r="HJ26" i="2" s="1"/>
  <c r="HQ26" i="2" s="1"/>
  <c r="HX26" i="2" s="1"/>
  <c r="IE26" i="2" s="1"/>
  <c r="IL26" i="2" s="1"/>
  <c r="P26" i="2"/>
  <c r="W26" i="2" s="1"/>
  <c r="AD26" i="2" s="1"/>
  <c r="AK26" i="2" s="1"/>
  <c r="AR26" i="2" s="1"/>
  <c r="AY26" i="2" s="1"/>
  <c r="BF26" i="2" s="1"/>
  <c r="BM26" i="2" s="1"/>
  <c r="BT26" i="2" s="1"/>
  <c r="CA26" i="2" s="1"/>
  <c r="CH26" i="2" s="1"/>
  <c r="CO26" i="2" s="1"/>
  <c r="CV26" i="2" s="1"/>
  <c r="DC26" i="2" s="1"/>
  <c r="DJ26" i="2" s="1"/>
  <c r="DQ26" i="2" s="1"/>
  <c r="DX26" i="2" s="1"/>
  <c r="EE26" i="2" s="1"/>
  <c r="EL26" i="2" s="1"/>
  <c r="ES26" i="2" s="1"/>
  <c r="EZ26" i="2" s="1"/>
  <c r="FG26" i="2" s="1"/>
  <c r="FN26" i="2" s="1"/>
  <c r="FU26" i="2" s="1"/>
  <c r="GB26" i="2" s="1"/>
  <c r="GI26" i="2" s="1"/>
  <c r="GP26" i="2" s="1"/>
  <c r="GW26" i="2" s="1"/>
  <c r="HD26" i="2" s="1"/>
  <c r="HK26" i="2" s="1"/>
  <c r="HR26" i="2" s="1"/>
  <c r="HY26" i="2" s="1"/>
  <c r="IF26" i="2" s="1"/>
  <c r="IM26" i="2" s="1"/>
  <c r="Q26" i="2"/>
  <c r="X26" i="2" s="1"/>
  <c r="AE26" i="2" s="1"/>
  <c r="AL26" i="2" s="1"/>
  <c r="AS26" i="2" s="1"/>
  <c r="AZ26" i="2" s="1"/>
  <c r="BG26" i="2" s="1"/>
  <c r="BN26" i="2" s="1"/>
  <c r="BU26" i="2" s="1"/>
  <c r="CB26" i="2" s="1"/>
  <c r="CI26" i="2" s="1"/>
  <c r="CP26" i="2" s="1"/>
  <c r="CW26" i="2" s="1"/>
  <c r="DD26" i="2" s="1"/>
  <c r="DK26" i="2" s="1"/>
  <c r="DR26" i="2" s="1"/>
  <c r="DY26" i="2" s="1"/>
  <c r="EF26" i="2" s="1"/>
  <c r="EM26" i="2" s="1"/>
  <c r="ET26" i="2" s="1"/>
  <c r="FA26" i="2" s="1"/>
  <c r="FH26" i="2" s="1"/>
  <c r="FO26" i="2" s="1"/>
  <c r="FV26" i="2" s="1"/>
  <c r="GC26" i="2" s="1"/>
  <c r="GJ26" i="2" s="1"/>
  <c r="GQ26" i="2" s="1"/>
  <c r="GX26" i="2" s="1"/>
  <c r="HE26" i="2" s="1"/>
  <c r="HL26" i="2" s="1"/>
  <c r="HS26" i="2" s="1"/>
  <c r="HZ26" i="2" s="1"/>
  <c r="IG26" i="2" s="1"/>
  <c r="IN26" i="2" s="1"/>
  <c r="D50" i="2"/>
  <c r="E50" i="2"/>
  <c r="F50" i="2"/>
  <c r="G50" i="2"/>
  <c r="H50" i="2"/>
  <c r="K50" i="2"/>
  <c r="N50" i="2"/>
  <c r="R50" i="2"/>
  <c r="S50" i="2"/>
  <c r="T50" i="2"/>
  <c r="U50" i="2"/>
  <c r="V50" i="2"/>
  <c r="Y50" i="2"/>
  <c r="Z50" i="2"/>
  <c r="AA50" i="2"/>
  <c r="AB50" i="2"/>
  <c r="AC50" i="2"/>
  <c r="AF50" i="2"/>
  <c r="AG50" i="2"/>
  <c r="AH50" i="2"/>
  <c r="AI50" i="2"/>
  <c r="AJ50" i="2"/>
  <c r="AM50" i="2"/>
  <c r="AP50" i="2"/>
  <c r="AT50" i="2"/>
  <c r="AU50" i="2"/>
  <c r="AV50" i="2"/>
  <c r="AW50" i="2"/>
  <c r="AX50" i="2"/>
  <c r="E82" i="2"/>
  <c r="E151" i="2"/>
  <c r="F151" i="2"/>
  <c r="H151" i="2"/>
  <c r="I151" i="2"/>
  <c r="J151" i="2"/>
  <c r="K151" i="2"/>
  <c r="L151" i="2"/>
  <c r="M151" i="2"/>
  <c r="N151" i="2"/>
  <c r="O151" i="2"/>
  <c r="P151" i="2"/>
  <c r="Q151" i="2"/>
  <c r="S151" i="2"/>
  <c r="T151" i="2"/>
  <c r="U151" i="2"/>
  <c r="V151" i="2"/>
  <c r="F274" i="8" l="1"/>
  <c r="C105" i="38" s="1"/>
  <c r="G253" i="8"/>
  <c r="F254" i="8"/>
  <c r="B95" i="37" s="1"/>
  <c r="D102" i="13"/>
  <c r="D95" i="13"/>
  <c r="D99" i="13" s="1"/>
  <c r="D20" i="13" s="1"/>
  <c r="B43" i="34" s="1"/>
  <c r="E276" i="8"/>
  <c r="B106" i="38" s="1"/>
  <c r="J176" i="8"/>
  <c r="I93" i="13"/>
  <c r="C176" i="8" l="1"/>
  <c r="F64" i="37"/>
  <c r="D50" i="13"/>
  <c r="D21" i="13" s="1"/>
  <c r="D61" i="13"/>
  <c r="E280" i="8"/>
  <c r="E277" i="8"/>
  <c r="D46" i="13"/>
  <c r="C32" i="34" s="1"/>
  <c r="D96" i="13"/>
  <c r="D19" i="13" s="1"/>
  <c r="B42" i="34" s="1"/>
  <c r="D47" i="13"/>
  <c r="F263" i="8" l="1"/>
  <c r="B99" i="37" s="1"/>
  <c r="G150" i="8"/>
  <c r="C53" i="37" s="1"/>
  <c r="G254" i="8" l="1"/>
  <c r="C95" i="37" s="1"/>
  <c r="F275" i="8"/>
  <c r="B104" i="37" s="1"/>
  <c r="E102" i="13"/>
  <c r="F276" i="8"/>
  <c r="C106" i="38" s="1"/>
  <c r="E95" i="13"/>
  <c r="H150" i="8"/>
  <c r="D53" i="37" s="1"/>
  <c r="E50" i="13" l="1"/>
  <c r="E21" i="13" s="1"/>
  <c r="E61" i="13"/>
  <c r="E46" i="13"/>
  <c r="E99" i="13"/>
  <c r="E20" i="13" s="1"/>
  <c r="E96" i="13"/>
  <c r="E47" i="13"/>
  <c r="F280" i="8"/>
  <c r="F277" i="8"/>
  <c r="B105" i="37" s="1"/>
  <c r="I150" i="8"/>
  <c r="E53" i="37" s="1"/>
  <c r="E19" i="13" l="1"/>
  <c r="J150" i="8"/>
  <c r="F98" i="13"/>
  <c r="C150" i="8" l="1"/>
  <c r="F53" i="37"/>
  <c r="G98" i="13"/>
  <c r="F75" i="13" l="1"/>
  <c r="F9" i="13" s="1"/>
  <c r="C22" i="34" s="1"/>
  <c r="G75" i="13" l="1"/>
  <c r="G9" i="13" s="1"/>
  <c r="G219" i="8"/>
  <c r="C80" i="37" s="1"/>
  <c r="H75" i="13"/>
  <c r="H9" i="13" s="1"/>
  <c r="G76" i="13" l="1"/>
  <c r="G51" i="13" s="1"/>
  <c r="H45" i="8"/>
  <c r="D11" i="37" s="1"/>
  <c r="F76" i="13"/>
  <c r="F11" i="13" s="1"/>
  <c r="G45" i="8"/>
  <c r="C11" i="37" s="1"/>
  <c r="I90" i="13"/>
  <c r="I25" i="13" s="1"/>
  <c r="I26" i="13"/>
  <c r="I75" i="13"/>
  <c r="I9" i="13" s="1"/>
  <c r="F79" i="13"/>
  <c r="F90" i="13"/>
  <c r="F25" i="13" s="1"/>
  <c r="F26" i="13"/>
  <c r="C30" i="34" s="1"/>
  <c r="G79" i="13"/>
  <c r="G14" i="13" s="1"/>
  <c r="H219" i="8"/>
  <c r="D80" i="37" s="1"/>
  <c r="G64" i="8"/>
  <c r="C20" i="37" s="1"/>
  <c r="F13" i="13" l="1"/>
  <c r="F14" i="13"/>
  <c r="G13" i="13"/>
  <c r="I219" i="8"/>
  <c r="E80" i="37" s="1"/>
  <c r="J219" i="8"/>
  <c r="F80" i="37" s="1"/>
  <c r="G11" i="13"/>
  <c r="F51" i="13"/>
  <c r="C34" i="34" s="1"/>
  <c r="I76" i="13"/>
  <c r="J45" i="8"/>
  <c r="F11" i="37" s="1"/>
  <c r="H76" i="13"/>
  <c r="H11" i="13" s="1"/>
  <c r="I45" i="8"/>
  <c r="E11" i="37" s="1"/>
  <c r="F15" i="13"/>
  <c r="G62" i="8"/>
  <c r="C19" i="37" s="1"/>
  <c r="G15" i="13"/>
  <c r="H62" i="8"/>
  <c r="D19" i="37" s="1"/>
  <c r="H64" i="8"/>
  <c r="D20" i="37" s="1"/>
  <c r="F49" i="13"/>
  <c r="F52" i="13"/>
  <c r="G12" i="13"/>
  <c r="G52" i="13"/>
  <c r="I23" i="13"/>
  <c r="I24" i="13"/>
  <c r="B11" i="24"/>
  <c r="F12" i="13"/>
  <c r="C23" i="34" s="1"/>
  <c r="G70" i="8"/>
  <c r="H70" i="8"/>
  <c r="H90" i="13"/>
  <c r="H25" i="13" s="1"/>
  <c r="H26" i="13"/>
  <c r="G90" i="13"/>
  <c r="G25" i="13" s="1"/>
  <c r="G26" i="13"/>
  <c r="F24" i="13"/>
  <c r="C19" i="34" s="1"/>
  <c r="F23" i="13"/>
  <c r="C18" i="34" s="1"/>
  <c r="G49" i="13"/>
  <c r="H79" i="13"/>
  <c r="H14" i="13" s="1"/>
  <c r="J259" i="8"/>
  <c r="H81" i="8" l="1"/>
  <c r="E24" i="38"/>
  <c r="G81" i="8"/>
  <c r="D24" i="38"/>
  <c r="J338" i="8"/>
  <c r="H52" i="13"/>
  <c r="H13" i="13"/>
  <c r="I11" i="13"/>
  <c r="D20" i="24"/>
  <c r="B20" i="24" s="1"/>
  <c r="C219" i="8"/>
  <c r="B10" i="24"/>
  <c r="C45" i="8"/>
  <c r="I51" i="13"/>
  <c r="H51" i="13"/>
  <c r="F100" i="13"/>
  <c r="F17" i="13" s="1"/>
  <c r="G71" i="8"/>
  <c r="C23" i="37" s="1"/>
  <c r="I15" i="13"/>
  <c r="J62" i="8"/>
  <c r="F19" i="37" s="1"/>
  <c r="H15" i="13"/>
  <c r="I62" i="8"/>
  <c r="E19" i="37" s="1"/>
  <c r="G100" i="13"/>
  <c r="G17" i="13" s="1"/>
  <c r="H71" i="8"/>
  <c r="D23" i="37" s="1"/>
  <c r="J70" i="8"/>
  <c r="G24" i="13"/>
  <c r="G23" i="13"/>
  <c r="H24" i="13"/>
  <c r="H23" i="13"/>
  <c r="H49" i="13"/>
  <c r="H12" i="13"/>
  <c r="G259" i="8"/>
  <c r="J350" i="8"/>
  <c r="H259" i="8"/>
  <c r="J81" i="8" l="1"/>
  <c r="G24" i="38"/>
  <c r="J340" i="8"/>
  <c r="M52" i="35"/>
  <c r="M53" i="35" s="1"/>
  <c r="N52" i="35"/>
  <c r="G90" i="8"/>
  <c r="D32" i="38" s="1"/>
  <c r="D28" i="38"/>
  <c r="H90" i="8"/>
  <c r="E32" i="38" s="1"/>
  <c r="E28" i="38"/>
  <c r="H338" i="8"/>
  <c r="G260" i="8"/>
  <c r="C98" i="37" s="1"/>
  <c r="G338" i="8"/>
  <c r="J90" i="8"/>
  <c r="G32" i="38" s="1"/>
  <c r="I79" i="13"/>
  <c r="I14" i="13" s="1"/>
  <c r="H260" i="8"/>
  <c r="D98" i="37" s="1"/>
  <c r="C62" i="8"/>
  <c r="G82" i="13"/>
  <c r="G56" i="13" s="1"/>
  <c r="H82" i="8"/>
  <c r="D27" i="37" s="1"/>
  <c r="I100" i="13"/>
  <c r="I17" i="13" s="1"/>
  <c r="F82" i="13"/>
  <c r="F56" i="13" s="1"/>
  <c r="G82" i="8"/>
  <c r="C27" i="37" s="1"/>
  <c r="I70" i="8"/>
  <c r="F24" i="38" s="1"/>
  <c r="I64" i="8"/>
  <c r="E20" i="37" s="1"/>
  <c r="J64" i="8"/>
  <c r="F20" i="37" s="1"/>
  <c r="H255" i="8"/>
  <c r="G255" i="8"/>
  <c r="I345" i="8"/>
  <c r="H350" i="8"/>
  <c r="H345" i="8"/>
  <c r="G91" i="8" l="1"/>
  <c r="C31" i="37" s="1"/>
  <c r="J52" i="35"/>
  <c r="I52" i="35"/>
  <c r="I53" i="35" s="1"/>
  <c r="H52" i="35"/>
  <c r="G52" i="35"/>
  <c r="G53" i="35" s="1"/>
  <c r="G262" i="8"/>
  <c r="H253" i="8" s="1"/>
  <c r="H340" i="8"/>
  <c r="B12" i="24"/>
  <c r="D21" i="24" s="1"/>
  <c r="B22" i="24" s="1"/>
  <c r="G28" i="38"/>
  <c r="F36" i="36"/>
  <c r="G348" i="8"/>
  <c r="G349" i="8" s="1"/>
  <c r="G351" i="8" s="1"/>
  <c r="G340" i="8"/>
  <c r="G343" i="8" s="1"/>
  <c r="D19" i="24"/>
  <c r="B28" i="24" s="1"/>
  <c r="I13" i="13"/>
  <c r="G58" i="13"/>
  <c r="G59" i="13"/>
  <c r="F58" i="13"/>
  <c r="F59" i="13"/>
  <c r="I49" i="13"/>
  <c r="I52" i="13"/>
  <c r="I12" i="13"/>
  <c r="J71" i="8"/>
  <c r="F23" i="37" s="1"/>
  <c r="I81" i="8"/>
  <c r="H256" i="8"/>
  <c r="D96" i="37" s="1"/>
  <c r="G256" i="8"/>
  <c r="C64" i="8"/>
  <c r="H91" i="8"/>
  <c r="D31" i="37" s="1"/>
  <c r="F16" i="13"/>
  <c r="C24" i="34" s="1"/>
  <c r="G16" i="13"/>
  <c r="H100" i="13"/>
  <c r="H17" i="13" s="1"/>
  <c r="I71" i="8"/>
  <c r="E23" i="37" s="1"/>
  <c r="J255" i="8"/>
  <c r="I82" i="13"/>
  <c r="I56" i="13" s="1"/>
  <c r="H348" i="8"/>
  <c r="I259" i="8"/>
  <c r="G274" i="8" l="1"/>
  <c r="I338" i="8"/>
  <c r="G263" i="8"/>
  <c r="C99" i="37" s="1"/>
  <c r="C96" i="37"/>
  <c r="I90" i="8"/>
  <c r="F32" i="38" s="1"/>
  <c r="F28" i="38"/>
  <c r="B32" i="24"/>
  <c r="B33" i="24" s="1"/>
  <c r="B19" i="24"/>
  <c r="I58" i="13"/>
  <c r="I59" i="13"/>
  <c r="C71" i="8"/>
  <c r="H262" i="8"/>
  <c r="I260" i="8"/>
  <c r="J260" i="8"/>
  <c r="F98" i="37" s="1"/>
  <c r="H82" i="13"/>
  <c r="H56" i="13" s="1"/>
  <c r="I82" i="8"/>
  <c r="E27" i="37" s="1"/>
  <c r="J82" i="8"/>
  <c r="F27" i="37" s="1"/>
  <c r="I255" i="8"/>
  <c r="I16" i="13"/>
  <c r="J345" i="8"/>
  <c r="I350" i="8"/>
  <c r="I91" i="8" l="1"/>
  <c r="E31" i="37" s="1"/>
  <c r="I256" i="8"/>
  <c r="E96" i="37" s="1"/>
  <c r="L52" i="35"/>
  <c r="K52" i="35"/>
  <c r="K53" i="35" s="1"/>
  <c r="I340" i="8"/>
  <c r="C260" i="8"/>
  <c r="E98" i="37"/>
  <c r="H58" i="13"/>
  <c r="H59" i="13"/>
  <c r="H274" i="8"/>
  <c r="I253" i="8"/>
  <c r="H254" i="8"/>
  <c r="C82" i="8"/>
  <c r="F102" i="13"/>
  <c r="F61" i="13" s="1"/>
  <c r="G275" i="8"/>
  <c r="C104" i="37" s="1"/>
  <c r="F95" i="13"/>
  <c r="J256" i="8"/>
  <c r="J91" i="8"/>
  <c r="H16" i="13"/>
  <c r="I348" i="8"/>
  <c r="H276" i="8" l="1"/>
  <c r="H263" i="8"/>
  <c r="D99" i="37" s="1"/>
  <c r="D95" i="37"/>
  <c r="I262" i="8"/>
  <c r="I274" i="8" s="1"/>
  <c r="C256" i="8"/>
  <c r="F96" i="37"/>
  <c r="C91" i="8"/>
  <c r="F31" i="37"/>
  <c r="F47" i="13"/>
  <c r="C33" i="34" s="1"/>
  <c r="F99" i="13"/>
  <c r="F20" i="13" s="1"/>
  <c r="I254" i="8"/>
  <c r="E95" i="37" s="1"/>
  <c r="G102" i="13"/>
  <c r="G61" i="13" s="1"/>
  <c r="H275" i="8"/>
  <c r="D104" i="37" s="1"/>
  <c r="F96" i="13"/>
  <c r="G95" i="13"/>
  <c r="J348" i="8"/>
  <c r="I263" i="8" l="1"/>
  <c r="E99" i="37" s="1"/>
  <c r="J253" i="8"/>
  <c r="F19" i="13"/>
  <c r="G47" i="13"/>
  <c r="G99" i="13"/>
  <c r="I275" i="8"/>
  <c r="E104" i="37" s="1"/>
  <c r="J262" i="8"/>
  <c r="G155" i="8"/>
  <c r="C55" i="37" s="1"/>
  <c r="G19" i="13" l="1"/>
  <c r="G20" i="13"/>
  <c r="J274" i="8"/>
  <c r="H155" i="8"/>
  <c r="D55" i="37" s="1"/>
  <c r="J254" i="8"/>
  <c r="H102" i="13"/>
  <c r="H61" i="13" s="1"/>
  <c r="H95" i="13"/>
  <c r="I155" i="8"/>
  <c r="E55" i="37" s="1"/>
  <c r="J155" i="8"/>
  <c r="F55" i="37" s="1"/>
  <c r="F107" i="13"/>
  <c r="I107" i="13"/>
  <c r="H107" i="13"/>
  <c r="G107" i="13"/>
  <c r="I103" i="13"/>
  <c r="H103" i="13"/>
  <c r="G103" i="13"/>
  <c r="G44" i="13" s="1"/>
  <c r="F103" i="13"/>
  <c r="I347" i="8"/>
  <c r="J347" i="8"/>
  <c r="H347" i="8"/>
  <c r="C254" i="8" l="1"/>
  <c r="F95" i="37"/>
  <c r="B34" i="23"/>
  <c r="H47" i="13"/>
  <c r="H99" i="13"/>
  <c r="J263" i="8"/>
  <c r="C155" i="8"/>
  <c r="I181" i="8"/>
  <c r="I179" i="8"/>
  <c r="E65" i="37" s="1"/>
  <c r="G181" i="8"/>
  <c r="G179" i="8"/>
  <c r="C65" i="37" s="1"/>
  <c r="H181" i="8"/>
  <c r="H179" i="8"/>
  <c r="D65" i="37" s="1"/>
  <c r="J181" i="8"/>
  <c r="J179" i="8"/>
  <c r="F65" i="37" s="1"/>
  <c r="I95" i="8"/>
  <c r="I188" i="8" s="1"/>
  <c r="I284" i="8" s="1"/>
  <c r="J95" i="8"/>
  <c r="J188" i="8" s="1"/>
  <c r="J284" i="8" s="1"/>
  <c r="B6" i="24" l="1"/>
  <c r="G67" i="38"/>
  <c r="G88" i="38"/>
  <c r="G92" i="38"/>
  <c r="G101" i="38"/>
  <c r="G86" i="38"/>
  <c r="G74" i="38"/>
  <c r="G69" i="38"/>
  <c r="G90" i="38"/>
  <c r="G70" i="38"/>
  <c r="G103" i="38"/>
  <c r="G71" i="38"/>
  <c r="G77" i="38"/>
  <c r="G102" i="38"/>
  <c r="G95" i="38"/>
  <c r="G72" i="38"/>
  <c r="G73" i="38"/>
  <c r="G94" i="38"/>
  <c r="G79" i="38"/>
  <c r="G83" i="38"/>
  <c r="G82" i="38"/>
  <c r="G78" i="38"/>
  <c r="G87" i="38"/>
  <c r="G76" i="38"/>
  <c r="G75" i="38"/>
  <c r="G104" i="38"/>
  <c r="G80" i="38"/>
  <c r="G84" i="38"/>
  <c r="G89" i="38"/>
  <c r="G93" i="38"/>
  <c r="G40" i="38"/>
  <c r="G47" i="38"/>
  <c r="G53" i="38"/>
  <c r="G41" i="38"/>
  <c r="G59" i="38"/>
  <c r="G42" i="38"/>
  <c r="G55" i="38"/>
  <c r="G60" i="38"/>
  <c r="G37" i="38"/>
  <c r="G43" i="38"/>
  <c r="G61" i="38"/>
  <c r="G39" i="38"/>
  <c r="G57" i="38"/>
  <c r="G62" i="38"/>
  <c r="G48" i="38"/>
  <c r="G36" i="38"/>
  <c r="G33" i="38"/>
  <c r="G51" i="38"/>
  <c r="G63" i="38"/>
  <c r="G50" i="38"/>
  <c r="G58" i="38"/>
  <c r="G34" i="38"/>
  <c r="G68" i="38"/>
  <c r="G35" i="38"/>
  <c r="G46" i="38"/>
  <c r="G52" i="38"/>
  <c r="G45" i="38"/>
  <c r="G64" i="38"/>
  <c r="G85" i="38"/>
  <c r="G65" i="38"/>
  <c r="G54" i="38"/>
  <c r="G38" i="38"/>
  <c r="G44" i="38"/>
  <c r="G56" i="38"/>
  <c r="G66" i="38"/>
  <c r="G81" i="38"/>
  <c r="G49" i="38"/>
  <c r="G91" i="38"/>
  <c r="G98" i="38"/>
  <c r="G99" i="38"/>
  <c r="G97" i="38"/>
  <c r="G96" i="38"/>
  <c r="G100" i="38"/>
  <c r="H19" i="13"/>
  <c r="H20" i="13"/>
  <c r="C263" i="8"/>
  <c r="F99" i="37"/>
  <c r="E67" i="38"/>
  <c r="E88" i="38"/>
  <c r="E73" i="38"/>
  <c r="E76" i="38"/>
  <c r="E77" i="38"/>
  <c r="E93" i="38"/>
  <c r="E72" i="38"/>
  <c r="E79" i="38"/>
  <c r="E104" i="38"/>
  <c r="E74" i="38"/>
  <c r="E75" i="38"/>
  <c r="E102" i="38"/>
  <c r="E70" i="38"/>
  <c r="E82" i="38"/>
  <c r="E86" i="38"/>
  <c r="E95" i="38"/>
  <c r="E80" i="38"/>
  <c r="E89" i="38"/>
  <c r="E78" i="38"/>
  <c r="E87" i="38"/>
  <c r="E83" i="38"/>
  <c r="E101" i="38"/>
  <c r="E92" i="38"/>
  <c r="E94" i="38"/>
  <c r="E69" i="38"/>
  <c r="E90" i="38"/>
  <c r="E84" i="38"/>
  <c r="E103" i="38"/>
  <c r="E71" i="38"/>
  <c r="E39" i="38"/>
  <c r="E63" i="38"/>
  <c r="E42" i="38"/>
  <c r="E57" i="38"/>
  <c r="E68" i="38"/>
  <c r="E40" i="38"/>
  <c r="E59" i="38"/>
  <c r="E58" i="38"/>
  <c r="E52" i="38"/>
  <c r="E64" i="38"/>
  <c r="E51" i="38"/>
  <c r="E35" i="38"/>
  <c r="E60" i="38"/>
  <c r="E47" i="38"/>
  <c r="E55" i="38"/>
  <c r="E36" i="38"/>
  <c r="E53" i="38"/>
  <c r="E48" i="38"/>
  <c r="E46" i="38"/>
  <c r="E33" i="38"/>
  <c r="E50" i="38"/>
  <c r="E43" i="38"/>
  <c r="E62" i="38"/>
  <c r="E61" i="38"/>
  <c r="E37" i="38"/>
  <c r="E34" i="38"/>
  <c r="E45" i="38"/>
  <c r="E41" i="38"/>
  <c r="E98" i="38"/>
  <c r="E85" i="38"/>
  <c r="E38" i="38"/>
  <c r="E54" i="38"/>
  <c r="E65" i="38"/>
  <c r="E44" i="38"/>
  <c r="E66" i="38"/>
  <c r="E49" i="38"/>
  <c r="E56" i="38"/>
  <c r="E81" i="38"/>
  <c r="E91" i="38"/>
  <c r="E99" i="38"/>
  <c r="E97" i="38"/>
  <c r="E96" i="38"/>
  <c r="E100" i="38"/>
  <c r="E105" i="38"/>
  <c r="E106" i="38"/>
  <c r="H343" i="8"/>
  <c r="D67" i="38"/>
  <c r="D79" i="38"/>
  <c r="D88" i="38"/>
  <c r="D92" i="38"/>
  <c r="D87" i="38"/>
  <c r="D80" i="38"/>
  <c r="D94" i="38"/>
  <c r="D83" i="38"/>
  <c r="D103" i="38"/>
  <c r="D84" i="38"/>
  <c r="D73" i="38"/>
  <c r="D89" i="38"/>
  <c r="D74" i="38"/>
  <c r="D102" i="38"/>
  <c r="D70" i="38"/>
  <c r="D76" i="38"/>
  <c r="D101" i="38"/>
  <c r="D69" i="38"/>
  <c r="D93" i="38"/>
  <c r="D71" i="38"/>
  <c r="D95" i="38"/>
  <c r="D78" i="38"/>
  <c r="D82" i="38"/>
  <c r="D77" i="38"/>
  <c r="D72" i="38"/>
  <c r="D90" i="38"/>
  <c r="D86" i="38"/>
  <c r="D75" i="38"/>
  <c r="D104" i="38"/>
  <c r="D47" i="38"/>
  <c r="D53" i="38"/>
  <c r="D41" i="38"/>
  <c r="D48" i="38"/>
  <c r="D42" i="38"/>
  <c r="D55" i="38"/>
  <c r="D61" i="38"/>
  <c r="D57" i="38"/>
  <c r="D39" i="38"/>
  <c r="D62" i="38"/>
  <c r="D40" i="38"/>
  <c r="D59" i="38"/>
  <c r="D43" i="38"/>
  <c r="D64" i="38"/>
  <c r="D33" i="38"/>
  <c r="D58" i="38"/>
  <c r="D63" i="38"/>
  <c r="D50" i="38"/>
  <c r="D37" i="38"/>
  <c r="D34" i="38"/>
  <c r="D36" i="38"/>
  <c r="D68" i="38"/>
  <c r="D51" i="38"/>
  <c r="D46" i="38"/>
  <c r="D35" i="38"/>
  <c r="D52" i="38"/>
  <c r="D45" i="38"/>
  <c r="D60" i="38"/>
  <c r="D85" i="38"/>
  <c r="D54" i="38"/>
  <c r="D44" i="38"/>
  <c r="D65" i="38"/>
  <c r="D38" i="38"/>
  <c r="D66" i="38"/>
  <c r="D56" i="38"/>
  <c r="D49" i="38"/>
  <c r="D81" i="38"/>
  <c r="D91" i="38"/>
  <c r="D98" i="38"/>
  <c r="D96" i="38"/>
  <c r="D99" i="38"/>
  <c r="D97" i="38"/>
  <c r="D100" i="38"/>
  <c r="D105" i="38"/>
  <c r="G105" i="38"/>
  <c r="J343" i="8"/>
  <c r="F67" i="38"/>
  <c r="F101" i="38"/>
  <c r="F104" i="38"/>
  <c r="F73" i="38"/>
  <c r="F77" i="38"/>
  <c r="F90" i="38"/>
  <c r="F86" i="38"/>
  <c r="F89" i="38"/>
  <c r="F84" i="38"/>
  <c r="F78" i="38"/>
  <c r="F93" i="38"/>
  <c r="F82" i="38"/>
  <c r="F87" i="38"/>
  <c r="F72" i="38"/>
  <c r="F80" i="38"/>
  <c r="F94" i="38"/>
  <c r="F103" i="38"/>
  <c r="F71" i="38"/>
  <c r="F74" i="38"/>
  <c r="F95" i="38"/>
  <c r="F102" i="38"/>
  <c r="F88" i="38"/>
  <c r="F92" i="38"/>
  <c r="F76" i="38"/>
  <c r="F79" i="38"/>
  <c r="F69" i="38"/>
  <c r="F75" i="38"/>
  <c r="F70" i="38"/>
  <c r="F83" i="38"/>
  <c r="F39" i="38"/>
  <c r="F37" i="38"/>
  <c r="F48" i="38"/>
  <c r="F55" i="38"/>
  <c r="F40" i="38"/>
  <c r="F33" i="38"/>
  <c r="F43" i="38"/>
  <c r="F47" i="38"/>
  <c r="F50" i="38"/>
  <c r="F57" i="38"/>
  <c r="F58" i="38"/>
  <c r="F51" i="38"/>
  <c r="F45" i="38"/>
  <c r="F63" i="38"/>
  <c r="F46" i="38"/>
  <c r="F59" i="38"/>
  <c r="F41" i="38"/>
  <c r="F34" i="38"/>
  <c r="F68" i="38"/>
  <c r="F64" i="38"/>
  <c r="F42" i="38"/>
  <c r="F36" i="38"/>
  <c r="F35" i="38"/>
  <c r="F60" i="38"/>
  <c r="F52" i="38"/>
  <c r="F53" i="38"/>
  <c r="F61" i="38"/>
  <c r="F62" i="38"/>
  <c r="F85" i="38"/>
  <c r="F38" i="38"/>
  <c r="F54" i="38"/>
  <c r="F65" i="38"/>
  <c r="F44" i="38"/>
  <c r="F56" i="38"/>
  <c r="F49" i="38"/>
  <c r="F66" i="38"/>
  <c r="F81" i="38"/>
  <c r="F91" i="38"/>
  <c r="F98" i="38"/>
  <c r="F99" i="38"/>
  <c r="F97" i="38"/>
  <c r="F96" i="38"/>
  <c r="F105" i="38"/>
  <c r="F100" i="38"/>
  <c r="G101" i="13"/>
  <c r="G18" i="13" s="1"/>
  <c r="I343" i="8"/>
  <c r="B47" i="23"/>
  <c r="B36" i="23"/>
  <c r="B38" i="23" s="1"/>
  <c r="J275" i="8"/>
  <c r="C179" i="8"/>
  <c r="F101" i="13"/>
  <c r="G182" i="8"/>
  <c r="C66" i="37" s="1"/>
  <c r="I101" i="13"/>
  <c r="J182" i="8"/>
  <c r="F66" i="37" s="1"/>
  <c r="H182" i="8"/>
  <c r="D66" i="37" s="1"/>
  <c r="H101" i="13"/>
  <c r="I182" i="8"/>
  <c r="E66" i="37" s="1"/>
  <c r="C275" i="8" l="1"/>
  <c r="F104" i="37"/>
  <c r="G42" i="13"/>
  <c r="G50" i="13"/>
  <c r="B48" i="23"/>
  <c r="B18" i="23" s="1"/>
  <c r="I102" i="13"/>
  <c r="D22" i="24" s="1"/>
  <c r="B24" i="24" s="1"/>
  <c r="B23" i="24" s="1"/>
  <c r="I95" i="13"/>
  <c r="I18" i="13"/>
  <c r="I42" i="13"/>
  <c r="I44" i="13"/>
  <c r="H42" i="13"/>
  <c r="H44" i="13"/>
  <c r="H18" i="13"/>
  <c r="H50" i="13"/>
  <c r="C182" i="8"/>
  <c r="F50" i="13"/>
  <c r="F42" i="13"/>
  <c r="F44" i="13"/>
  <c r="F18" i="13"/>
  <c r="H95" i="8"/>
  <c r="H188" i="8" s="1"/>
  <c r="H284" i="8" s="1"/>
  <c r="G21" i="13" l="1"/>
  <c r="E11" i="23"/>
  <c r="E12" i="23" s="1"/>
  <c r="H11" i="23"/>
  <c r="H12" i="23" s="1"/>
  <c r="H14" i="23"/>
  <c r="D11" i="23"/>
  <c r="D12" i="23" s="1"/>
  <c r="D13" i="23" s="1"/>
  <c r="F11" i="23"/>
  <c r="F12" i="23" s="1"/>
  <c r="G11" i="23"/>
  <c r="G12" i="23" s="1"/>
  <c r="I50" i="13"/>
  <c r="I21" i="13" s="1"/>
  <c r="I61" i="13"/>
  <c r="I47" i="13"/>
  <c r="I99" i="13"/>
  <c r="F21" i="13"/>
  <c r="C25" i="34" s="1"/>
  <c r="H21" i="13"/>
  <c r="G95" i="8"/>
  <c r="G188" i="8" s="1"/>
  <c r="G284" i="8" s="1"/>
  <c r="I19" i="13" l="1"/>
  <c r="I20" i="13"/>
  <c r="D15" i="23"/>
  <c r="B20" i="23" s="1"/>
  <c r="F95" i="8"/>
  <c r="F188" i="8" s="1"/>
  <c r="F284" i="8" s="1"/>
  <c r="B21" i="23" l="1"/>
  <c r="B25" i="23"/>
  <c r="B27" i="23"/>
  <c r="E95" i="8"/>
  <c r="E188" i="8" s="1"/>
  <c r="E284" i="8" s="1"/>
  <c r="D95" i="8"/>
  <c r="D188" i="8" s="1"/>
  <c r="G243" i="8"/>
  <c r="C90" i="37" s="1"/>
  <c r="F106" i="13"/>
  <c r="F54" i="13" s="1"/>
  <c r="G106" i="13"/>
  <c r="G54" i="13" s="1"/>
  <c r="H106" i="13"/>
  <c r="H54" i="13" s="1"/>
  <c r="H243" i="8" l="1"/>
  <c r="D90" i="37" s="1"/>
  <c r="I243" i="8"/>
  <c r="E90" i="37" s="1"/>
  <c r="G276" i="8"/>
  <c r="D106" i="38" s="1"/>
  <c r="F89" i="13"/>
  <c r="F108" i="13" s="1"/>
  <c r="H280" i="8"/>
  <c r="G89" i="13"/>
  <c r="G108" i="13" s="1"/>
  <c r="I276" i="8"/>
  <c r="F106" i="38" s="1"/>
  <c r="H89" i="13"/>
  <c r="H108" i="13" s="1"/>
  <c r="H97" i="13"/>
  <c r="G97" i="13"/>
  <c r="I106" i="13"/>
  <c r="I54" i="13" s="1"/>
  <c r="I280" i="8" l="1"/>
  <c r="I277" i="8"/>
  <c r="E105" i="37" s="1"/>
  <c r="G280" i="8"/>
  <c r="G277" i="8"/>
  <c r="C105" i="37" s="1"/>
  <c r="H277" i="8"/>
  <c r="D105" i="37" s="1"/>
  <c r="I89" i="13"/>
  <c r="I108" i="13" s="1"/>
  <c r="J243" i="8"/>
  <c r="G46" i="13"/>
  <c r="G48" i="13"/>
  <c r="H46" i="13"/>
  <c r="H48" i="13"/>
  <c r="F48" i="13"/>
  <c r="F46" i="13"/>
  <c r="G53" i="13"/>
  <c r="F97" i="13"/>
  <c r="F53" i="13" s="1"/>
  <c r="I346" i="8"/>
  <c r="I349" i="8" s="1"/>
  <c r="I351" i="8" s="1"/>
  <c r="H53" i="13"/>
  <c r="H346" i="8"/>
  <c r="H349" i="8" s="1"/>
  <c r="H351" i="8" s="1"/>
  <c r="J346" i="8"/>
  <c r="B8" i="24" s="1"/>
  <c r="J276" i="8"/>
  <c r="G106" i="38" s="1"/>
  <c r="C243" i="8" l="1"/>
  <c r="F90" i="37"/>
  <c r="J280" i="8"/>
  <c r="J277" i="8"/>
  <c r="I48" i="13"/>
  <c r="I46" i="13"/>
  <c r="I97" i="13"/>
  <c r="I53" i="13" s="1"/>
  <c r="J349" i="8"/>
  <c r="J351" i="8" s="1"/>
  <c r="C277" i="8" l="1"/>
  <c r="F105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ABBAS</author>
  </authors>
  <commentList>
    <comment ref="A100" authorId="0" shapeId="0" xr:uid="{E2ACED5E-A3A4-4411-8F70-BC197D169D67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User should check and accept if there is difference. Differences lower than one should be automaticly neglected.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Aldaly</author>
  </authors>
  <commentList>
    <comment ref="C33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BM: Net changes in Long terms Dues from &amp; to sister companies (= net effect of Lt group support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</author>
    <author>samir</author>
    <author>TIS</author>
  </authors>
  <commentList>
    <comment ref="B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BM: Sales Year 2 – Sales Year 1 / (Sales Year 1) * 100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BM: gross profit (loss) / Sales * 100</t>
        </r>
      </text>
    </comment>
    <comment ref="B11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BM:  Operating profit/ Sales </t>
        </r>
      </text>
    </comment>
    <comment ref="B17" authorId="1" shapeId="0" xr:uid="{00000000-0006-0000-0400-000004000000}">
      <text>
        <r>
          <rPr>
            <sz val="9"/>
            <color indexed="81"/>
            <rFont val="Tahoma"/>
            <family val="2"/>
          </rPr>
          <t xml:space="preserve">BM:
NPAT/sales
</t>
        </r>
      </text>
    </comment>
    <comment ref="B19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 xml:space="preserve">BM: EBIT/ (Total Debt + Net Worth + Minority Interests) * 100
</t>
        </r>
      </text>
    </comment>
    <comment ref="B23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BM: Current assets/ Current liabilities.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4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BM: (Cash and equivalents +  receivables) / Current liabilities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8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BM: Average account receivables / Sales * 365</t>
        </r>
      </text>
    </comment>
    <comment ref="B3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BM: Average total inventory / Cost of sales *365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2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BM: Average accounts payable/cost of sales *365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2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BM: sales/Total Assets</t>
        </r>
      </text>
    </comment>
    <comment ref="B44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BM:sales/net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 xml:space="preserve">BM: Total liabilities / Tangible Net Worth 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7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BM: Total debt / Tangible Net Worth</t>
        </r>
      </text>
    </comment>
    <comment ref="B48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Debt Ratio:</t>
        </r>
        <r>
          <rPr>
            <sz val="9"/>
            <color indexed="81"/>
            <rFont val="Tahoma"/>
            <family val="2"/>
          </rPr>
          <t xml:space="preserve">
Total Liabilites\Total Assets</t>
        </r>
      </text>
    </comment>
    <comment ref="B49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BM:Total debt / EBITDA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0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BM:total assets/equity</t>
        </r>
      </text>
    </comment>
    <comment ref="B51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BM: EBIT/ Gross interest</t>
        </r>
      </text>
    </comment>
    <comment ref="B53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 xml:space="preserve">BM: Cash after current operations / (Gross interest + dividends + annual operating lease payments + current maturities 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 xml:space="preserve">EPS: </t>
        </r>
        <r>
          <rPr>
            <sz val="9"/>
            <color indexed="81"/>
            <rFont val="Tahoma"/>
            <family val="2"/>
          </rPr>
          <t xml:space="preserve">Net Income ÷ Average Common Shares Outstanding 
</t>
        </r>
      </text>
    </comment>
    <comment ref="B58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P/E:</t>
        </r>
        <r>
          <rPr>
            <sz val="9"/>
            <color indexed="81"/>
            <rFont val="Tahoma"/>
            <family val="2"/>
          </rPr>
          <t xml:space="preserve">
Market Price per Share ÷ Earnings per Share </t>
        </r>
      </text>
    </comment>
    <comment ref="B59" authorId="2" shapeId="0" xr:uid="{00000000-0006-0000-0400-000016000000}">
      <text>
        <r>
          <rPr>
            <sz val="9"/>
            <color indexed="81"/>
            <rFont val="Tahoma"/>
            <family val="2"/>
          </rPr>
          <t xml:space="preserve">Dividend per Share ÷ Earnings per Share </t>
        </r>
      </text>
    </comment>
    <comment ref="B60" authorId="2" shapeId="0" xr:uid="{00000000-0006-0000-0400-000017000000}">
      <text>
        <r>
          <rPr>
            <b/>
            <sz val="9"/>
            <color indexed="81"/>
            <rFont val="Tahoma"/>
            <family val="2"/>
          </rPr>
          <t xml:space="preserve">Dividend per Share ÷ Market Price per Share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2" shapeId="0" xr:uid="{00000000-0006-0000-0400-000018000000}">
      <text>
        <r>
          <rPr>
            <sz val="9"/>
            <color indexed="81"/>
            <rFont val="Tahoma"/>
            <family val="2"/>
          </rPr>
          <t xml:space="preserve">Common SHE ÷ Average Common Shares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ABBAS</author>
  </authors>
  <commentList>
    <comment ref="H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extracted from Damodaran then multiplied to be last figure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ABBAS</author>
    <author>Mohamed Abbas</author>
  </authors>
  <commentList>
    <comment ref="A4" authorId="0" shapeId="0" xr:uid="{703744FA-4CFF-4CB5-A459-D4603F5F1A05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inventory, rent, electricity,… etc.
 </t>
        </r>
      </text>
    </comment>
    <comment ref="H15" authorId="1" shapeId="0" xr:uid="{00000000-0006-0000-0A00-000001000000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please put it in negative sign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ABBAS</author>
  </authors>
  <commentList>
    <comment ref="B2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as per last F. statements</t>
        </r>
      </text>
    </comment>
    <comment ref="B23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MOHAMED ABBAS:</t>
        </r>
        <r>
          <rPr>
            <sz val="9"/>
            <color indexed="81"/>
            <rFont val="Tahoma"/>
            <family val="2"/>
          </rPr>
          <t xml:space="preserve">
as per 1Q 2017</t>
        </r>
      </text>
    </comment>
  </commentList>
</comments>
</file>

<file path=xl/sharedStrings.xml><?xml version="1.0" encoding="utf-8"?>
<sst xmlns="http://schemas.openxmlformats.org/spreadsheetml/2006/main" count="7921" uniqueCount="3936">
  <si>
    <t>Corporates Financial Spreading Sheet</t>
  </si>
  <si>
    <t>Customer information</t>
  </si>
  <si>
    <t>Statement published in:</t>
  </si>
  <si>
    <t>Amounts in:</t>
  </si>
  <si>
    <t>Standard Industrial Classification (SIC)Code:</t>
  </si>
  <si>
    <t>Last fiscal year:</t>
  </si>
  <si>
    <t>Consolidated:</t>
  </si>
  <si>
    <t>No</t>
  </si>
  <si>
    <t>Profit &amp; Loss Statement</t>
  </si>
  <si>
    <t>Net sales</t>
  </si>
  <si>
    <t>Cost of goods sold</t>
  </si>
  <si>
    <t>Depreciation</t>
  </si>
  <si>
    <t>Gross Profit</t>
  </si>
  <si>
    <t>SG&amp;A expense</t>
  </si>
  <si>
    <t>Provisions</t>
  </si>
  <si>
    <t>Other amortization</t>
  </si>
  <si>
    <t>Net operating profit (EBIT)</t>
  </si>
  <si>
    <t>Write offs</t>
  </si>
  <si>
    <t>Interest Income</t>
  </si>
  <si>
    <t>Other income/Not specified</t>
  </si>
  <si>
    <t>Equity income (associates/others)</t>
  </si>
  <si>
    <t>G/L from sale of fix assets &amp; operations</t>
  </si>
  <si>
    <t>Gains from sale of subs &amp; other</t>
  </si>
  <si>
    <t>Net Profit Before Tax</t>
  </si>
  <si>
    <t>Total tax expense</t>
  </si>
  <si>
    <t xml:space="preserve">  Current tax expense</t>
  </si>
  <si>
    <t xml:space="preserve">  Deferred tax expense</t>
  </si>
  <si>
    <t>Net Profit After Tax</t>
  </si>
  <si>
    <t>Minority interest expense</t>
  </si>
  <si>
    <t>Gain/loss on sale of plant</t>
  </si>
  <si>
    <t>Other extraordinary item</t>
  </si>
  <si>
    <t>Net profit</t>
  </si>
  <si>
    <t>Preferred dividends</t>
  </si>
  <si>
    <t>Common dividends</t>
  </si>
  <si>
    <t>Other adjustment</t>
  </si>
  <si>
    <t>Total Change in R/E</t>
  </si>
  <si>
    <t>BALANCE SHEET</t>
  </si>
  <si>
    <t>ASSETS</t>
  </si>
  <si>
    <t>Cash</t>
  </si>
  <si>
    <t>Time deposits</t>
  </si>
  <si>
    <t>Marketable securities</t>
  </si>
  <si>
    <t>Accounts receivable</t>
  </si>
  <si>
    <t>Less: allowances</t>
  </si>
  <si>
    <t>Net receivables</t>
  </si>
  <si>
    <t>Raw materials</t>
  </si>
  <si>
    <t>Work in progress</t>
  </si>
  <si>
    <t>Finished goods</t>
  </si>
  <si>
    <t>GIT / Other</t>
  </si>
  <si>
    <t>Net inventory</t>
  </si>
  <si>
    <t>Advance payment</t>
  </si>
  <si>
    <t>*Due from sister co (st)</t>
  </si>
  <si>
    <t>Other receivables</t>
  </si>
  <si>
    <t>Other current asset</t>
  </si>
  <si>
    <t>TOTAL CURRENT ASSETS</t>
  </si>
  <si>
    <t>Land and buildings</t>
  </si>
  <si>
    <t>Machinery &amp; equipment</t>
  </si>
  <si>
    <t>Other equipment</t>
  </si>
  <si>
    <t>Construction in progress</t>
  </si>
  <si>
    <t>Gross pp&amp;e</t>
  </si>
  <si>
    <t>Less: accumulated dep</t>
  </si>
  <si>
    <t>Net plant property &amp; equipment</t>
  </si>
  <si>
    <t>Investments (associates)</t>
  </si>
  <si>
    <t>Due from sisters (Lt)</t>
  </si>
  <si>
    <t>Deferred tax asset</t>
  </si>
  <si>
    <t>Goodwill</t>
  </si>
  <si>
    <t>Other intangible asset</t>
  </si>
  <si>
    <t>Less: accum. amortization</t>
  </si>
  <si>
    <t>Net intangibles</t>
  </si>
  <si>
    <t>TOTAL NON-CURRENT ASSETS</t>
  </si>
  <si>
    <t>TOTAL ASSETS</t>
  </si>
  <si>
    <t>*St related to intercompany operational transactions</t>
  </si>
  <si>
    <t>LIABILITIES &amp; EQUITY</t>
  </si>
  <si>
    <t>Short term borrowing--existing</t>
  </si>
  <si>
    <t>Cp senior debt--existing</t>
  </si>
  <si>
    <t>Cp cap lease</t>
  </si>
  <si>
    <t>Cp sub debt--existing</t>
  </si>
  <si>
    <t>Down payments</t>
  </si>
  <si>
    <t>*Due to sister co (st)</t>
  </si>
  <si>
    <t>Taxes payable</t>
  </si>
  <si>
    <t>Interest payable</t>
  </si>
  <si>
    <t>Dividends payable</t>
  </si>
  <si>
    <t>Other current liability</t>
  </si>
  <si>
    <t>TOTAL CURRENT LIABILITIES</t>
  </si>
  <si>
    <t>Lt lease obligation</t>
  </si>
  <si>
    <t>Lt senior debt--existing</t>
  </si>
  <si>
    <t>Lt sub debt--existing</t>
  </si>
  <si>
    <t>TOTAL LONG-TERM DEBT</t>
  </si>
  <si>
    <t>Due to sister co (Lt)</t>
  </si>
  <si>
    <t>Pension and similar provisions</t>
  </si>
  <si>
    <t>Restruct., warranty and oth prov.</t>
  </si>
  <si>
    <t>Deferred taxes</t>
  </si>
  <si>
    <t>Shareholders loan</t>
  </si>
  <si>
    <t>TOTAL LIABILITIES</t>
  </si>
  <si>
    <t>Minority interest</t>
  </si>
  <si>
    <t>Preferred stock</t>
  </si>
  <si>
    <t>Common stock</t>
  </si>
  <si>
    <t>Additional paid-in capital</t>
  </si>
  <si>
    <t>Retained earnings opening</t>
  </si>
  <si>
    <t>Plus:  net profit</t>
  </si>
  <si>
    <t>Less:  dividends</t>
  </si>
  <si>
    <t>Other adjustments</t>
  </si>
  <si>
    <t>Retained earnings closing</t>
  </si>
  <si>
    <t>Restricted reserves</t>
  </si>
  <si>
    <t>Fx translation reserve</t>
  </si>
  <si>
    <t>Treasury stock (at cost)</t>
  </si>
  <si>
    <t>TOTAL EQUITY</t>
  </si>
  <si>
    <t>TOTAL LIABS &amp; EQUITY</t>
  </si>
  <si>
    <t>RECONCILE B/S</t>
  </si>
  <si>
    <t>NEW MONEY NEED</t>
  </si>
  <si>
    <t>Cash Flow</t>
  </si>
  <si>
    <t>EBIT (NET OPERATING PROFIT)</t>
  </si>
  <si>
    <t>+</t>
  </si>
  <si>
    <t>Amortization</t>
  </si>
  <si>
    <t>EBITDA</t>
  </si>
  <si>
    <t>-</t>
  </si>
  <si>
    <t>Taxes paid</t>
  </si>
  <si>
    <t>GROSS OPERATING CASH FLOW (COPAT)</t>
  </si>
  <si>
    <t>+ chg</t>
  </si>
  <si>
    <t xml:space="preserve">   Net Chg Working Investment</t>
  </si>
  <si>
    <t>CASH AFTER CURRENT OPERATIONS (CACO)</t>
  </si>
  <si>
    <t>Interest paid</t>
  </si>
  <si>
    <t>Cp Ltd--existing</t>
  </si>
  <si>
    <t>Cp Ltd--new</t>
  </si>
  <si>
    <t>Cp lease</t>
  </si>
  <si>
    <t>Financing payment</t>
  </si>
  <si>
    <t>Common dividends paid</t>
  </si>
  <si>
    <t>CASH FLOW BEFORE INVESTING</t>
  </si>
  <si>
    <t>Net plant expenditures</t>
  </si>
  <si>
    <t>Sundry income (expense)</t>
  </si>
  <si>
    <t>Other unusual item</t>
  </si>
  <si>
    <t>CASH FLOW BEFORE FINANCING</t>
  </si>
  <si>
    <t>Std</t>
  </si>
  <si>
    <t>Ltd</t>
  </si>
  <si>
    <t>Lease</t>
  </si>
  <si>
    <t>Lt group finance</t>
  </si>
  <si>
    <t>Lt provisions</t>
  </si>
  <si>
    <t>Equity</t>
  </si>
  <si>
    <t>CHANGE IN CASH</t>
  </si>
  <si>
    <t>Opening cash balance</t>
  </si>
  <si>
    <t>Closing cash balance</t>
  </si>
  <si>
    <t>Reconciliation</t>
  </si>
  <si>
    <t>OPENING CASH BALANCE</t>
  </si>
  <si>
    <t>Cash flow from operations</t>
  </si>
  <si>
    <t>Cash flow from investing</t>
  </si>
  <si>
    <t>Cash flow from financing</t>
  </si>
  <si>
    <t>NET CASH FLOW</t>
  </si>
  <si>
    <t>CLOSING CASH BALANCE</t>
  </si>
  <si>
    <t>RECONCILE CASH FLOW</t>
  </si>
  <si>
    <t>EBIT</t>
  </si>
  <si>
    <t>Subordinated debt</t>
  </si>
  <si>
    <t>Dividends</t>
  </si>
  <si>
    <t>Current ratio</t>
  </si>
  <si>
    <t>Quick ratio</t>
  </si>
  <si>
    <t>Financial leverage</t>
  </si>
  <si>
    <t>Total debt/EBITDA</t>
  </si>
  <si>
    <t>Total Debt</t>
  </si>
  <si>
    <t>Ratio Sheet</t>
  </si>
  <si>
    <t>Trend</t>
  </si>
  <si>
    <t>Volatility</t>
  </si>
  <si>
    <t>R1</t>
  </si>
  <si>
    <t>Gross margin</t>
  </si>
  <si>
    <t>R2</t>
  </si>
  <si>
    <t>Operating margin (EBIT)</t>
  </si>
  <si>
    <t>R3</t>
  </si>
  <si>
    <t>% Sales growth</t>
  </si>
  <si>
    <t>R4</t>
  </si>
  <si>
    <t>Return on capital employed (ROCE)</t>
  </si>
  <si>
    <t>R5</t>
  </si>
  <si>
    <t>R6</t>
  </si>
  <si>
    <t>R7</t>
  </si>
  <si>
    <t>Receivables days</t>
  </si>
  <si>
    <t>R8</t>
  </si>
  <si>
    <t>Inventory days</t>
  </si>
  <si>
    <t>R9</t>
  </si>
  <si>
    <t>Payables days</t>
  </si>
  <si>
    <t>R10</t>
  </si>
  <si>
    <t>Gearing</t>
  </si>
  <si>
    <t>R12</t>
  </si>
  <si>
    <t>Interest coverage</t>
  </si>
  <si>
    <t>R13</t>
  </si>
  <si>
    <t>R14</t>
  </si>
  <si>
    <t>CACO/ Fin. charges</t>
  </si>
  <si>
    <t>Components</t>
  </si>
  <si>
    <t>Sales</t>
  </si>
  <si>
    <t>Cost of goods sold  (COGS)</t>
  </si>
  <si>
    <t>Gross profit</t>
  </si>
  <si>
    <t xml:space="preserve">Interest </t>
  </si>
  <si>
    <t>Cash and equivalents + trade receivables</t>
  </si>
  <si>
    <t>Total current assets</t>
  </si>
  <si>
    <t>Average receivables</t>
  </si>
  <si>
    <t>Average total inventory</t>
  </si>
  <si>
    <t>Average payables</t>
  </si>
  <si>
    <t>Total liabilities</t>
  </si>
  <si>
    <t>Total current liabilities</t>
  </si>
  <si>
    <t>Own &amp; associated means</t>
  </si>
  <si>
    <t>Cash after current operations (CACO)</t>
  </si>
  <si>
    <t>Financial charges</t>
  </si>
  <si>
    <t>Capital Employed</t>
  </si>
  <si>
    <t>Ratio</t>
  </si>
  <si>
    <t>Assessment</t>
  </si>
  <si>
    <t>Score</t>
  </si>
  <si>
    <t>Scores</t>
  </si>
  <si>
    <t>Generic</t>
  </si>
  <si>
    <t>Operations</t>
  </si>
  <si>
    <t>Yes</t>
  </si>
  <si>
    <t>Operating margin</t>
  </si>
  <si>
    <t>%Sales growth</t>
  </si>
  <si>
    <t>Return on capital employed</t>
  </si>
  <si>
    <t>Liquidity</t>
  </si>
  <si>
    <t>Total debt / EBITDA</t>
  </si>
  <si>
    <t>Competitive edge</t>
  </si>
  <si>
    <t>Average</t>
  </si>
  <si>
    <t>Company size</t>
  </si>
  <si>
    <t>Large</t>
  </si>
  <si>
    <t>Market outlook</t>
  </si>
  <si>
    <t>Product risk</t>
  </si>
  <si>
    <t>Low</t>
  </si>
  <si>
    <t>Supplier risk</t>
  </si>
  <si>
    <t>Customer risk</t>
  </si>
  <si>
    <t>High</t>
  </si>
  <si>
    <t>Capital structure / Financing structure</t>
  </si>
  <si>
    <t>Access to credit</t>
  </si>
  <si>
    <t>Head room under existing facilities</t>
  </si>
  <si>
    <t>Industries</t>
  </si>
  <si>
    <t>Durable Goods</t>
  </si>
  <si>
    <t>Plastic Products</t>
  </si>
  <si>
    <t>Owners lending to company</t>
  </si>
  <si>
    <t>Recourse to owners</t>
  </si>
  <si>
    <t>Years company in same business</t>
  </si>
  <si>
    <t>Long</t>
  </si>
  <si>
    <t>Strategic planning</t>
  </si>
  <si>
    <t>Accounting risk</t>
  </si>
  <si>
    <t>Moderate</t>
  </si>
  <si>
    <t>MIS quality</t>
  </si>
  <si>
    <t>Track record with Banque Misr</t>
  </si>
  <si>
    <t>Continuity of management</t>
  </si>
  <si>
    <t>Vulnerable</t>
  </si>
  <si>
    <t>Numerical Score
(lower bound)</t>
  </si>
  <si>
    <t>Classification</t>
  </si>
  <si>
    <t>5-</t>
  </si>
  <si>
    <t>Very Weak</t>
  </si>
  <si>
    <t>Special attention</t>
  </si>
  <si>
    <t>Weak</t>
  </si>
  <si>
    <t>5+</t>
  </si>
  <si>
    <t>Somewhat Weak</t>
  </si>
  <si>
    <t>Watch</t>
  </si>
  <si>
    <t>4-</t>
  </si>
  <si>
    <t>Relatively Sufficient</t>
  </si>
  <si>
    <t>Sufficient</t>
  </si>
  <si>
    <t>4+</t>
  </si>
  <si>
    <t>Very Sufficient</t>
  </si>
  <si>
    <t>3-</t>
  </si>
  <si>
    <t>Relatively Acceptable</t>
  </si>
  <si>
    <t>Acceptable</t>
  </si>
  <si>
    <t>3+</t>
  </si>
  <si>
    <t>Very Acceptable</t>
  </si>
  <si>
    <t>2-</t>
  </si>
  <si>
    <t>Relatively Strong</t>
  </si>
  <si>
    <t>Strong</t>
  </si>
  <si>
    <t>2+</t>
  </si>
  <si>
    <t>Very strong</t>
  </si>
  <si>
    <t>Prime</t>
  </si>
  <si>
    <t>Industry:</t>
  </si>
  <si>
    <t>Scoring row</t>
  </si>
  <si>
    <t>Very low</t>
  </si>
  <si>
    <t>Very high</t>
  </si>
  <si>
    <t>NA</t>
  </si>
  <si>
    <t xml:space="preserve">Operations </t>
  </si>
  <si>
    <t>Capital Structure</t>
  </si>
  <si>
    <t>Cash flow &amp; Debt Service</t>
  </si>
  <si>
    <t>CACO / Financial charges</t>
  </si>
  <si>
    <t>1st score row</t>
  </si>
  <si>
    <t>2nd score row</t>
  </si>
  <si>
    <t>3rd score row</t>
  </si>
  <si>
    <t>4th score row</t>
  </si>
  <si>
    <t>5th score row</t>
  </si>
  <si>
    <t>Score assessment table 
(turn ratio scores to assessments)</t>
  </si>
  <si>
    <t>Relatively weak</t>
  </si>
  <si>
    <t>Relatively strong</t>
  </si>
  <si>
    <t>Neutral</t>
  </si>
  <si>
    <t>Missing</t>
  </si>
  <si>
    <t>Score assessment table 
(turn trend scores to assessments)</t>
  </si>
  <si>
    <t>Negative</t>
  </si>
  <si>
    <t>Positive</t>
  </si>
  <si>
    <t>Poor</t>
  </si>
  <si>
    <t>Below average</t>
  </si>
  <si>
    <t>Above average</t>
  </si>
  <si>
    <t>Good</t>
  </si>
  <si>
    <t>Qualitative pillars</t>
  </si>
  <si>
    <t>Small</t>
  </si>
  <si>
    <t>Very large</t>
  </si>
  <si>
    <t>Flat</t>
  </si>
  <si>
    <t>Very Strong</t>
  </si>
  <si>
    <t>Very High</t>
  </si>
  <si>
    <t>Stock liquidity</t>
  </si>
  <si>
    <t>Industry scores</t>
  </si>
  <si>
    <t>Agribusiness</t>
  </si>
  <si>
    <t>Information Technology</t>
  </si>
  <si>
    <t>Power Supply (electricity)</t>
  </si>
  <si>
    <t>Wood &amp; Furniture</t>
  </si>
  <si>
    <t>Food &amp; beverage</t>
  </si>
  <si>
    <t>Public services</t>
  </si>
  <si>
    <t>Tourism</t>
  </si>
  <si>
    <t>Cotton trade</t>
  </si>
  <si>
    <t>Automotives</t>
  </si>
  <si>
    <t>Components of industry score</t>
  </si>
  <si>
    <t>Growth Prospects</t>
  </si>
  <si>
    <t>Industry Cycle</t>
  </si>
  <si>
    <t>Barriers to entry</t>
  </si>
  <si>
    <t>Intensity of competition</t>
  </si>
  <si>
    <t>Management</t>
  </si>
  <si>
    <t>Short</t>
  </si>
  <si>
    <t>Very good</t>
  </si>
  <si>
    <t>6+</t>
  </si>
  <si>
    <t>Sub-Standard</t>
  </si>
  <si>
    <t>Rating mapping, ORR scale</t>
  </si>
  <si>
    <t>Rating mapping, UCR scale</t>
  </si>
  <si>
    <t>ORR</t>
  </si>
  <si>
    <t>Default</t>
  </si>
  <si>
    <t>Consumer goods</t>
  </si>
  <si>
    <t>ICT</t>
  </si>
  <si>
    <t>Basic Materials</t>
  </si>
  <si>
    <t>Industrial goods</t>
  </si>
  <si>
    <t>Real estate investment</t>
  </si>
  <si>
    <t>Healthcare</t>
  </si>
  <si>
    <t>Services</t>
  </si>
  <si>
    <t>Transportation services</t>
  </si>
  <si>
    <t>Media and publicity</t>
  </si>
  <si>
    <t>Watch list</t>
  </si>
  <si>
    <t>Marginally acceptable</t>
  </si>
  <si>
    <t>Acceptable risk</t>
  </si>
  <si>
    <t>Adequate risk</t>
  </si>
  <si>
    <t>Satisfactory risk</t>
  </si>
  <si>
    <t>Modest risk</t>
  </si>
  <si>
    <t>Low risk</t>
  </si>
  <si>
    <t>Petrochemicals &amp; chemicals</t>
  </si>
  <si>
    <t>Construction contracting and specialised contracting</t>
  </si>
  <si>
    <t>Pharmaceuticals and medical supplies</t>
  </si>
  <si>
    <t>Building Materials and metallurgical industries</t>
  </si>
  <si>
    <t>Paper, Packaging &amp; Printing</t>
  </si>
  <si>
    <t>Textiles, spinning and weaving</t>
  </si>
  <si>
    <t>Fertilisers</t>
  </si>
  <si>
    <t>EGP</t>
  </si>
  <si>
    <t>Communications</t>
  </si>
  <si>
    <t>Petroleum &amp; natural gas</t>
  </si>
  <si>
    <t>WI</t>
  </si>
  <si>
    <t>SG&amp;A/Sales</t>
  </si>
  <si>
    <t>COGS/sales</t>
  </si>
  <si>
    <t>Asset leverage</t>
  </si>
  <si>
    <t>Asset Turnover</t>
  </si>
  <si>
    <t>NPTO</t>
  </si>
  <si>
    <t>WI/Sales</t>
  </si>
  <si>
    <t>ROS</t>
  </si>
  <si>
    <t>R15</t>
  </si>
  <si>
    <t>R16</t>
  </si>
  <si>
    <t>R17</t>
  </si>
  <si>
    <t>R18</t>
  </si>
  <si>
    <t>R19</t>
  </si>
  <si>
    <t>R20</t>
  </si>
  <si>
    <t>R21</t>
  </si>
  <si>
    <t>NPAT</t>
  </si>
  <si>
    <t>Total Assets</t>
  </si>
  <si>
    <t>Total Equity</t>
  </si>
  <si>
    <t>SG&amp;A</t>
  </si>
  <si>
    <t>ROE</t>
  </si>
  <si>
    <t>AE DOH</t>
  </si>
  <si>
    <t>D/P DOH</t>
  </si>
  <si>
    <t>WC</t>
  </si>
  <si>
    <t>Adv./P DOH</t>
  </si>
  <si>
    <t xml:space="preserve"> </t>
  </si>
  <si>
    <t>Units</t>
  </si>
  <si>
    <t>Spare Parts</t>
  </si>
  <si>
    <t>No.</t>
  </si>
  <si>
    <t>R24</t>
  </si>
  <si>
    <t>R25</t>
  </si>
  <si>
    <t>R26</t>
  </si>
  <si>
    <t>R28</t>
  </si>
  <si>
    <t>ROA</t>
  </si>
  <si>
    <t>R31</t>
  </si>
  <si>
    <t>EBITDA Margin</t>
  </si>
  <si>
    <t>Net Profit Margin</t>
  </si>
  <si>
    <t>R32</t>
  </si>
  <si>
    <t>Pretax Profit Margin</t>
  </si>
  <si>
    <t>R33</t>
  </si>
  <si>
    <t>Debt Ratio</t>
  </si>
  <si>
    <t>COPAT</t>
  </si>
  <si>
    <t>R34</t>
  </si>
  <si>
    <t>COPAT to Debt</t>
  </si>
  <si>
    <t>R36</t>
  </si>
  <si>
    <t>R37</t>
  </si>
  <si>
    <t>R38</t>
  </si>
  <si>
    <t>Accounts payable - Suppliers -</t>
  </si>
  <si>
    <t>A/E</t>
  </si>
  <si>
    <t>Tangible net worth</t>
  </si>
  <si>
    <t>net plant &amp; equipment</t>
  </si>
  <si>
    <t>Nadeen Alber El Dabaa</t>
  </si>
  <si>
    <t>Banque Misr</t>
  </si>
  <si>
    <t>Kareem Essam Alber</t>
  </si>
  <si>
    <t>Egyptian Global Investment Fund</t>
  </si>
  <si>
    <t>Shareholders Union</t>
  </si>
  <si>
    <t>Other</t>
  </si>
  <si>
    <t>Alexandria Egypt Fund for Financial Investments</t>
  </si>
  <si>
    <t>Essam Alber El Dabaa</t>
  </si>
  <si>
    <t xml:space="preserve">Fixed Assets </t>
  </si>
  <si>
    <t>Net Debt</t>
  </si>
  <si>
    <t>Net Debt/EBITDA</t>
  </si>
  <si>
    <t xml:space="preserve">Services </t>
  </si>
  <si>
    <t xml:space="preserve">Revenue </t>
  </si>
  <si>
    <t>COGS</t>
  </si>
  <si>
    <t>Raw Materials &amp; packaging</t>
  </si>
  <si>
    <t xml:space="preserve">Wages and Salaries </t>
  </si>
  <si>
    <t>Salaries, Wages, &amp; Social Insurance</t>
  </si>
  <si>
    <t>Advertising</t>
  </si>
  <si>
    <t>Others</t>
  </si>
  <si>
    <t>Fixed Assets FY2016</t>
  </si>
  <si>
    <t xml:space="preserve">Inventory </t>
  </si>
  <si>
    <t>Raw Materials</t>
  </si>
  <si>
    <t>WIP</t>
  </si>
  <si>
    <t>Finished Goods</t>
  </si>
  <si>
    <t>Fuel &amp; spare parts</t>
  </si>
  <si>
    <t xml:space="preserve">Addition </t>
  </si>
  <si>
    <t>EPS</t>
  </si>
  <si>
    <t>Total liabilities Excluding Debt</t>
  </si>
  <si>
    <t>Chart Years</t>
  </si>
  <si>
    <t xml:space="preserve">Shareholder </t>
  </si>
  <si>
    <t xml:space="preserve">% </t>
  </si>
  <si>
    <t>YOY Growth</t>
  </si>
  <si>
    <t>Editable Values</t>
  </si>
  <si>
    <t>Q1 2016</t>
  </si>
  <si>
    <t>Q12017</t>
  </si>
  <si>
    <t>Less: Taxes</t>
  </si>
  <si>
    <t>Add: Depreciation</t>
  </si>
  <si>
    <t>Add: Chg. In WI</t>
  </si>
  <si>
    <t>Add: CAPEX</t>
  </si>
  <si>
    <t xml:space="preserve">Employee Profit share </t>
  </si>
  <si>
    <t>FCFF</t>
  </si>
  <si>
    <t>Discount Period</t>
  </si>
  <si>
    <t>Discount Factor</t>
  </si>
  <si>
    <t>PV of FCFF</t>
  </si>
  <si>
    <t>Sum of PV</t>
  </si>
  <si>
    <t>Terminal Value</t>
  </si>
  <si>
    <t>PV of Terminal Value</t>
  </si>
  <si>
    <t>WACC</t>
  </si>
  <si>
    <t>Actual GDP Growth</t>
  </si>
  <si>
    <t>Q2/17</t>
  </si>
  <si>
    <t>Q3/17</t>
  </si>
  <si>
    <t>Q4/17</t>
  </si>
  <si>
    <t>Q1/18</t>
  </si>
  <si>
    <t>AVG.</t>
  </si>
  <si>
    <t>TGR</t>
  </si>
  <si>
    <t>Enterprise Value</t>
  </si>
  <si>
    <t>TV % of EV</t>
  </si>
  <si>
    <t>Current NCMP TV/EBITDA Multiple</t>
  </si>
  <si>
    <t>Debt and Debt-Like</t>
  </si>
  <si>
    <t xml:space="preserve">EBITDA Multiple </t>
  </si>
  <si>
    <t>Cash &amp; Eq.</t>
  </si>
  <si>
    <t>Equity Value</t>
  </si>
  <si>
    <t xml:space="preserve">Stock Price </t>
  </si>
  <si>
    <t>Implied EV/LY EBITDA</t>
  </si>
  <si>
    <t>outstanding shares</t>
  </si>
  <si>
    <t>Global M&amp;As in F&amp;B Sector</t>
  </si>
  <si>
    <t xml:space="preserve">Company </t>
  </si>
  <si>
    <t>TV/EBITDA Multiple</t>
  </si>
  <si>
    <t>Implied Price/share</t>
  </si>
  <si>
    <t xml:space="preserve">Tingy Cayman Islands </t>
  </si>
  <si>
    <t>WACC Assumptions</t>
  </si>
  <si>
    <t>GrainCorp Ltd</t>
  </si>
  <si>
    <t>Average T-Bill USD</t>
  </si>
  <si>
    <t>Post Holdings Inc.</t>
  </si>
  <si>
    <t>CRP</t>
  </si>
  <si>
    <t>Samyang Genex Co Ltd</t>
  </si>
  <si>
    <t>RFR</t>
  </si>
  <si>
    <t>Dangote Flour Mills Plc</t>
  </si>
  <si>
    <t>Unlevered Beta</t>
  </si>
  <si>
    <t>Fuji Foods Co Ltd</t>
  </si>
  <si>
    <t xml:space="preserve">Leverage </t>
  </si>
  <si>
    <t xml:space="preserve">Solbar Industries Ltd </t>
  </si>
  <si>
    <t>Applicable Tax Rate</t>
  </si>
  <si>
    <t>Mean</t>
  </si>
  <si>
    <t>Levered Beta</t>
  </si>
  <si>
    <t>Total ERP Avg. USA</t>
  </si>
  <si>
    <t>Completed EGX recent M&amp;As</t>
  </si>
  <si>
    <t>Date</t>
  </si>
  <si>
    <t xml:space="preserve"> Company </t>
  </si>
  <si>
    <t>Ke</t>
  </si>
  <si>
    <t xml:space="preserve">Medsofts </t>
  </si>
  <si>
    <t>Corridor-Lending</t>
  </si>
  <si>
    <t>Mass Food</t>
  </si>
  <si>
    <t>Corridor-Borrowing</t>
  </si>
  <si>
    <t>Bisco Misr</t>
  </si>
  <si>
    <t>Mid Corridor</t>
  </si>
  <si>
    <t>Rashidi El Mizan</t>
  </si>
  <si>
    <t>Premium Over Mid Corridor</t>
  </si>
  <si>
    <t>Al-Maleka &amp; Al-Farasha Pasta</t>
  </si>
  <si>
    <t>Pre-Tax Kd</t>
  </si>
  <si>
    <t>Arab Dairy</t>
  </si>
  <si>
    <t>Post-Tax Kd</t>
  </si>
  <si>
    <t>Alexandria Portland Cement Co SAE</t>
  </si>
  <si>
    <t>Prime Holdings</t>
  </si>
  <si>
    <t>Weight of Equity</t>
  </si>
  <si>
    <t>Helwan Cement Co SAE</t>
  </si>
  <si>
    <t>MISR Conditioning - MIRACO</t>
  </si>
  <si>
    <t>Global Trading Multiple Valuation</t>
  </si>
  <si>
    <t>Taiwan Fructose Co LTD</t>
  </si>
  <si>
    <t>Tongaat Hulett LTD</t>
  </si>
  <si>
    <t>Ingredion INC</t>
  </si>
  <si>
    <t xml:space="preserve">Gujarat Ambuja Exports </t>
  </si>
  <si>
    <t>Sukhjit Starch &amp; Chemicals Ltd.</t>
  </si>
  <si>
    <t xml:space="preserve">Rafhan Maize Products Co., Ltd. </t>
  </si>
  <si>
    <t>EGX same Industry</t>
  </si>
  <si>
    <t xml:space="preserve"> Target Company  </t>
  </si>
  <si>
    <t xml:space="preserve"> EV/EBITDA Multiple </t>
  </si>
  <si>
    <t>Egyptian Starch and Glucose</t>
  </si>
  <si>
    <t>EBITDA LY</t>
  </si>
  <si>
    <t>If its Not a Full Year</t>
  </si>
  <si>
    <t>Stock Current Price</t>
  </si>
  <si>
    <t>P/S</t>
  </si>
  <si>
    <t>P/CF</t>
  </si>
  <si>
    <t>P/B</t>
  </si>
  <si>
    <t>Last Price</t>
  </si>
  <si>
    <t>2012-07-02</t>
  </si>
  <si>
    <t>2012-08-01</t>
  </si>
  <si>
    <t>2012-09-02</t>
  </si>
  <si>
    <t>2012-10-01</t>
  </si>
  <si>
    <t>2012-11-01</t>
  </si>
  <si>
    <t>2012-12-02</t>
  </si>
  <si>
    <t>2013-01-02</t>
  </si>
  <si>
    <t>2013-02-03</t>
  </si>
  <si>
    <t>2013-03-03</t>
  </si>
  <si>
    <t>2013-04-01</t>
  </si>
  <si>
    <t>2013-05-02</t>
  </si>
  <si>
    <t>2013-06-02</t>
  </si>
  <si>
    <t>2013-07-02</t>
  </si>
  <si>
    <t>2013-08-01</t>
  </si>
  <si>
    <t>2013-09-01</t>
  </si>
  <si>
    <t>2013-10-01</t>
  </si>
  <si>
    <t>2013-11-03</t>
  </si>
  <si>
    <t>2013-12-02</t>
  </si>
  <si>
    <t>2014-01-02</t>
  </si>
  <si>
    <t>2014-02-02</t>
  </si>
  <si>
    <t>2014-03-02</t>
  </si>
  <si>
    <t>2014-04-01</t>
  </si>
  <si>
    <t>2014-05-04</t>
  </si>
  <si>
    <t>2014-06-01</t>
  </si>
  <si>
    <t>2014-07-02</t>
  </si>
  <si>
    <t>2014-08-03</t>
  </si>
  <si>
    <t>2014-09-02</t>
  </si>
  <si>
    <t>2014-10-01</t>
  </si>
  <si>
    <t>2014-11-02</t>
  </si>
  <si>
    <t>2014-12-02</t>
  </si>
  <si>
    <t>2015-01-11</t>
  </si>
  <si>
    <t>2015-02-01</t>
  </si>
  <si>
    <t>2015-03-01</t>
  </si>
  <si>
    <t>2015-04-01</t>
  </si>
  <si>
    <t>2015-05-06</t>
  </si>
  <si>
    <t>2015-06-01</t>
  </si>
  <si>
    <t>2015-07-06</t>
  </si>
  <si>
    <t>2015-08-02</t>
  </si>
  <si>
    <t>2015-09-03</t>
  </si>
  <si>
    <t>2015-10-07</t>
  </si>
  <si>
    <t>2015-11-01</t>
  </si>
  <si>
    <t>2015-12-02</t>
  </si>
  <si>
    <t>2016-01-03</t>
  </si>
  <si>
    <t>2016-02-03</t>
  </si>
  <si>
    <t>2016-03-02</t>
  </si>
  <si>
    <t>2016-04-03</t>
  </si>
  <si>
    <t>2016-05-03</t>
  </si>
  <si>
    <t>2016-06-01</t>
  </si>
  <si>
    <t>2016-07-04</t>
  </si>
  <si>
    <t>2016-08-01</t>
  </si>
  <si>
    <t>2016-09-04</t>
  </si>
  <si>
    <t>2016-10-04</t>
  </si>
  <si>
    <t>2016-11-02</t>
  </si>
  <si>
    <t>2016-12-01</t>
  </si>
  <si>
    <t>2017-01-02</t>
  </si>
  <si>
    <t>2017-02-01</t>
  </si>
  <si>
    <t>2017-03-01</t>
  </si>
  <si>
    <t>2017-04-02</t>
  </si>
  <si>
    <t>2017-05-02</t>
  </si>
  <si>
    <t>2017-06-01</t>
  </si>
  <si>
    <t>2017-07-02</t>
  </si>
  <si>
    <t>2017-08-01</t>
  </si>
  <si>
    <t>2012-06-28</t>
  </si>
  <si>
    <t>2012-06-27</t>
  </si>
  <si>
    <t>2012-06-26</t>
  </si>
  <si>
    <t>2012-06-10</t>
  </si>
  <si>
    <t>2012-06-07</t>
  </si>
  <si>
    <t>2012-06-06</t>
  </si>
  <si>
    <t>2012-06-05</t>
  </si>
  <si>
    <t>2012-06-04</t>
  </si>
  <si>
    <t>2012-06-03</t>
  </si>
  <si>
    <t>2012-05-30</t>
  </si>
  <si>
    <t>2012-05-29</t>
  </si>
  <si>
    <t>2012-05-28</t>
  </si>
  <si>
    <t>2012-05-27</t>
  </si>
  <si>
    <t>2012-05-24</t>
  </si>
  <si>
    <t>2012-05-23</t>
  </si>
  <si>
    <t>2012-05-22</t>
  </si>
  <si>
    <t>2012-05-21</t>
  </si>
  <si>
    <t>2012-05-20</t>
  </si>
  <si>
    <t>2012-05-17</t>
  </si>
  <si>
    <t>2012-05-16</t>
  </si>
  <si>
    <t>2012-05-15</t>
  </si>
  <si>
    <t>2012-05-10</t>
  </si>
  <si>
    <t>2012-05-09</t>
  </si>
  <si>
    <t>2012-05-08</t>
  </si>
  <si>
    <t>2012-05-07</t>
  </si>
  <si>
    <t>2012-05-06</t>
  </si>
  <si>
    <t>2012-05-03</t>
  </si>
  <si>
    <t>2012-05-02</t>
  </si>
  <si>
    <t>2012-04-30</t>
  </si>
  <si>
    <t>2012-04-29</t>
  </si>
  <si>
    <t>2012-04-26</t>
  </si>
  <si>
    <t>2012-04-24</t>
  </si>
  <si>
    <t>2012-04-23</t>
  </si>
  <si>
    <t>2012-04-22</t>
  </si>
  <si>
    <t>2012-04-19</t>
  </si>
  <si>
    <t>2012-04-18</t>
  </si>
  <si>
    <t>2012-04-17</t>
  </si>
  <si>
    <t>2012-04-12</t>
  </si>
  <si>
    <t>2012-04-11</t>
  </si>
  <si>
    <t>2012-04-10</t>
  </si>
  <si>
    <t>2012-04-09</t>
  </si>
  <si>
    <t>2012-04-08</t>
  </si>
  <si>
    <t>2012-04-05</t>
  </si>
  <si>
    <t>2012-04-04</t>
  </si>
  <si>
    <t>2012-04-03</t>
  </si>
  <si>
    <t>2012-04-01</t>
  </si>
  <si>
    <t>2012-03-29</t>
  </si>
  <si>
    <t>2012-03-28</t>
  </si>
  <si>
    <t>2012-03-27</t>
  </si>
  <si>
    <t>2012-03-26</t>
  </si>
  <si>
    <t>2012-03-25</t>
  </si>
  <si>
    <t>2012-03-22</t>
  </si>
  <si>
    <t>2012-03-21</t>
  </si>
  <si>
    <t>2012-03-20</t>
  </si>
  <si>
    <t>2012-03-19</t>
  </si>
  <si>
    <t>2012-03-18</t>
  </si>
  <si>
    <t>2012-03-15</t>
  </si>
  <si>
    <t>2012-03-14</t>
  </si>
  <si>
    <t>2012-03-13</t>
  </si>
  <si>
    <t>2012-03-12</t>
  </si>
  <si>
    <t>2012-03-11</t>
  </si>
  <si>
    <t>2012-03-08</t>
  </si>
  <si>
    <t>2012-03-07</t>
  </si>
  <si>
    <t>2012-03-06</t>
  </si>
  <si>
    <t>2012-03-05</t>
  </si>
  <si>
    <t>2012-03-04</t>
  </si>
  <si>
    <t>2012-03-01</t>
  </si>
  <si>
    <t>2012-02-29</t>
  </si>
  <si>
    <t>2012-02-28</t>
  </si>
  <si>
    <t>2012-02-27</t>
  </si>
  <si>
    <t>2012-02-23</t>
  </si>
  <si>
    <t>2012-02-22</t>
  </si>
  <si>
    <t>2012-02-21</t>
  </si>
  <si>
    <t>2012-02-20</t>
  </si>
  <si>
    <t>2012-02-19</t>
  </si>
  <si>
    <t>2012-02-16</t>
  </si>
  <si>
    <t>2012-02-15</t>
  </si>
  <si>
    <t>2012-02-14</t>
  </si>
  <si>
    <t>2012-02-13</t>
  </si>
  <si>
    <t>2012-02-09</t>
  </si>
  <si>
    <t>2012-02-08</t>
  </si>
  <si>
    <t>2012-02-07</t>
  </si>
  <si>
    <t>2012-02-06</t>
  </si>
  <si>
    <t>2012-02-02</t>
  </si>
  <si>
    <t>2012-02-01</t>
  </si>
  <si>
    <t>2012-01-31</t>
  </si>
  <si>
    <t>2012-01-30</t>
  </si>
  <si>
    <t>2012-01-29</t>
  </si>
  <si>
    <t>2012-01-26</t>
  </si>
  <si>
    <t>2012-01-24</t>
  </si>
  <si>
    <t>2012-01-23</t>
  </si>
  <si>
    <t>2012-01-22</t>
  </si>
  <si>
    <t>2012-01-19</t>
  </si>
  <si>
    <t>2012-01-18</t>
  </si>
  <si>
    <t>2012-01-17</t>
  </si>
  <si>
    <t>2012-01-16</t>
  </si>
  <si>
    <t>2012-01-12</t>
  </si>
  <si>
    <t>2012-01-11</t>
  </si>
  <si>
    <t>2012-01-10</t>
  </si>
  <si>
    <t>2012-01-09</t>
  </si>
  <si>
    <t>2012-01-05</t>
  </si>
  <si>
    <t>2012-01-04</t>
  </si>
  <si>
    <t>2012-01-03</t>
  </si>
  <si>
    <t>2012-01-02</t>
  </si>
  <si>
    <t>2011-12-29</t>
  </si>
  <si>
    <t>2011-12-28</t>
  </si>
  <si>
    <t>2011-12-27</t>
  </si>
  <si>
    <t>2011-12-26</t>
  </si>
  <si>
    <t>2011-12-25</t>
  </si>
  <si>
    <t>2011-12-22</t>
  </si>
  <si>
    <t>2011-12-21</t>
  </si>
  <si>
    <t>2011-12-20</t>
  </si>
  <si>
    <t>2011-12-19</t>
  </si>
  <si>
    <t>2011-12-18</t>
  </si>
  <si>
    <t>2011-12-15</t>
  </si>
  <si>
    <t>2011-12-14</t>
  </si>
  <si>
    <t>2011-12-13</t>
  </si>
  <si>
    <t>2011-12-12</t>
  </si>
  <si>
    <t>2011-12-11</t>
  </si>
  <si>
    <t>2011-12-08</t>
  </si>
  <si>
    <t>2011-12-07</t>
  </si>
  <si>
    <t>2011-12-06</t>
  </si>
  <si>
    <t>2011-12-05</t>
  </si>
  <si>
    <t>2011-12-04</t>
  </si>
  <si>
    <t>2011-12-01</t>
  </si>
  <si>
    <t>2011-11-30</t>
  </si>
  <si>
    <t>2011-11-29</t>
  </si>
  <si>
    <t>2011-11-24</t>
  </si>
  <si>
    <t>2011-11-23</t>
  </si>
  <si>
    <t>2011-11-22</t>
  </si>
  <si>
    <t>2011-11-21</t>
  </si>
  <si>
    <t>2011-11-20</t>
  </si>
  <si>
    <t>2011-11-17</t>
  </si>
  <si>
    <t>2011-11-16</t>
  </si>
  <si>
    <t>2011-11-15</t>
  </si>
  <si>
    <t>2011-11-14</t>
  </si>
  <si>
    <t>2011-11-13</t>
  </si>
  <si>
    <t>2011-11-10</t>
  </si>
  <si>
    <t>2011-11-09</t>
  </si>
  <si>
    <t>2011-11-03</t>
  </si>
  <si>
    <t>2011-11-02</t>
  </si>
  <si>
    <t>2011-11-01</t>
  </si>
  <si>
    <t>2011-10-31</t>
  </si>
  <si>
    <t>2011-10-30</t>
  </si>
  <si>
    <t>2011-10-27</t>
  </si>
  <si>
    <t>2011-10-26</t>
  </si>
  <si>
    <t>2011-10-25</t>
  </si>
  <si>
    <t>2011-10-24</t>
  </si>
  <si>
    <t>2011-10-23</t>
  </si>
  <si>
    <t>2011-10-20</t>
  </si>
  <si>
    <t>2011-10-19</t>
  </si>
  <si>
    <t>2011-10-18</t>
  </si>
  <si>
    <t>2011-10-16</t>
  </si>
  <si>
    <t>2011-10-13</t>
  </si>
  <si>
    <t>2011-10-12</t>
  </si>
  <si>
    <t>2011-10-11</t>
  </si>
  <si>
    <t>2011-10-10</t>
  </si>
  <si>
    <t>2011-10-09</t>
  </si>
  <si>
    <t>2011-10-05</t>
  </si>
  <si>
    <t>2011-10-04</t>
  </si>
  <si>
    <t>2011-10-03</t>
  </si>
  <si>
    <t>2011-10-02</t>
  </si>
  <si>
    <t>2011-09-29</t>
  </si>
  <si>
    <t>2011-09-28</t>
  </si>
  <si>
    <t>2011-09-27</t>
  </si>
  <si>
    <t>2011-09-26</t>
  </si>
  <si>
    <t>2011-09-25</t>
  </si>
  <si>
    <t>2011-09-22</t>
  </si>
  <si>
    <t>2011-09-21</t>
  </si>
  <si>
    <t>2011-09-20</t>
  </si>
  <si>
    <t>2011-09-19</t>
  </si>
  <si>
    <t>2011-09-18</t>
  </si>
  <si>
    <t>2011-09-15</t>
  </si>
  <si>
    <t>2011-09-14</t>
  </si>
  <si>
    <t>2011-09-13</t>
  </si>
  <si>
    <t>2011-09-12</t>
  </si>
  <si>
    <t>2011-09-11</t>
  </si>
  <si>
    <t>2011-09-08</t>
  </si>
  <si>
    <t>2011-09-07</t>
  </si>
  <si>
    <t>2011-09-06</t>
  </si>
  <si>
    <t>2011-09-05</t>
  </si>
  <si>
    <t>2011-09-04</t>
  </si>
  <si>
    <t>2011-08-29</t>
  </si>
  <si>
    <t>2011-08-28</t>
  </si>
  <si>
    <t>2011-08-25</t>
  </si>
  <si>
    <t>2011-08-24</t>
  </si>
  <si>
    <t>2011-08-23</t>
  </si>
  <si>
    <t>2011-08-22</t>
  </si>
  <si>
    <t>2011-08-21</t>
  </si>
  <si>
    <t>2011-08-17</t>
  </si>
  <si>
    <t>2011-08-16</t>
  </si>
  <si>
    <t>2011-08-15</t>
  </si>
  <si>
    <t>2011-08-14</t>
  </si>
  <si>
    <t>2011-08-11</t>
  </si>
  <si>
    <t>n/a</t>
  </si>
  <si>
    <t>2011-08-10</t>
  </si>
  <si>
    <t>2011-08-09</t>
  </si>
  <si>
    <t>2011-08-08</t>
  </si>
  <si>
    <t>2011-08-07</t>
  </si>
  <si>
    <t>2011-08-04</t>
  </si>
  <si>
    <t>2011-08-02</t>
  </si>
  <si>
    <t>2011-07-28</t>
  </si>
  <si>
    <t>2011-07-27</t>
  </si>
  <si>
    <t>2011-07-26</t>
  </si>
  <si>
    <t>2011-07-25</t>
  </si>
  <si>
    <t>2011-07-21</t>
  </si>
  <si>
    <t>2011-07-20</t>
  </si>
  <si>
    <t>2011-07-19</t>
  </si>
  <si>
    <t>2011-07-18</t>
  </si>
  <si>
    <t>2011-07-17</t>
  </si>
  <si>
    <t>2011-07-14</t>
  </si>
  <si>
    <t>2011-07-13</t>
  </si>
  <si>
    <t>2011-07-12</t>
  </si>
  <si>
    <t>2011-07-11</t>
  </si>
  <si>
    <t>2011-07-10</t>
  </si>
  <si>
    <t>2011-07-07</t>
  </si>
  <si>
    <t>2011-07-06</t>
  </si>
  <si>
    <t>2011-07-05</t>
  </si>
  <si>
    <t>2011-07-04</t>
  </si>
  <si>
    <t>2011-07-03</t>
  </si>
  <si>
    <t>2011-06-30</t>
  </si>
  <si>
    <t>2011-06-29</t>
  </si>
  <si>
    <t>2011-06-28</t>
  </si>
  <si>
    <t>2011-06-27</t>
  </si>
  <si>
    <t>2011-06-26</t>
  </si>
  <si>
    <t>2011-06-23</t>
  </si>
  <si>
    <t>2011-06-22</t>
  </si>
  <si>
    <t>2011-06-21</t>
  </si>
  <si>
    <t>2011-06-20</t>
  </si>
  <si>
    <t>2011-06-19</t>
  </si>
  <si>
    <t>2011-06-16</t>
  </si>
  <si>
    <t>2011-06-15</t>
  </si>
  <si>
    <t>2011-06-14</t>
  </si>
  <si>
    <t>2011-06-13</t>
  </si>
  <si>
    <t>2011-06-12</t>
  </si>
  <si>
    <t>2011-06-08</t>
  </si>
  <si>
    <t>2011-06-07</t>
  </si>
  <si>
    <t>2011-06-06</t>
  </si>
  <si>
    <t>2011-06-05</t>
  </si>
  <si>
    <t>2011-06-02</t>
  </si>
  <si>
    <t>2011-06-01</t>
  </si>
  <si>
    <t>2011-05-31</t>
  </si>
  <si>
    <t>2011-05-30</t>
  </si>
  <si>
    <t>2011-05-29</t>
  </si>
  <si>
    <t>2011-05-26</t>
  </si>
  <si>
    <t>2011-05-25</t>
  </si>
  <si>
    <t>2011-05-24</t>
  </si>
  <si>
    <t>2011-05-23</t>
  </si>
  <si>
    <t>2011-05-22</t>
  </si>
  <si>
    <t>2011-05-19</t>
  </si>
  <si>
    <t>2011-05-18</t>
  </si>
  <si>
    <t>2011-05-17</t>
  </si>
  <si>
    <t>2011-05-16</t>
  </si>
  <si>
    <t>2011-05-15</t>
  </si>
  <si>
    <t>2011-05-12</t>
  </si>
  <si>
    <t>2011-05-11</t>
  </si>
  <si>
    <t>2011-05-10</t>
  </si>
  <si>
    <t>2011-05-09</t>
  </si>
  <si>
    <t>2011-05-08</t>
  </si>
  <si>
    <t>2011-05-05</t>
  </si>
  <si>
    <t>2011-05-04</t>
  </si>
  <si>
    <t>2011-05-03</t>
  </si>
  <si>
    <t>2011-05-02</t>
  </si>
  <si>
    <t>2011-04-28</t>
  </si>
  <si>
    <t>2011-04-27</t>
  </si>
  <si>
    <t>2011-04-26</t>
  </si>
  <si>
    <t>2011-04-21</t>
  </si>
  <si>
    <t>2011-04-20</t>
  </si>
  <si>
    <t>2011-04-18</t>
  </si>
  <si>
    <t>2011-04-17</t>
  </si>
  <si>
    <t>2011-04-14</t>
  </si>
  <si>
    <t>2011-04-13</t>
  </si>
  <si>
    <t>2011-04-12</t>
  </si>
  <si>
    <t>2011-04-11</t>
  </si>
  <si>
    <t>2011-04-10</t>
  </si>
  <si>
    <t>2011-04-06</t>
  </si>
  <si>
    <t>2011-04-05</t>
  </si>
  <si>
    <t>2011-04-04</t>
  </si>
  <si>
    <t>2011-04-03</t>
  </si>
  <si>
    <t>2011-03-31</t>
  </si>
  <si>
    <t>2011-03-30</t>
  </si>
  <si>
    <t>2011-03-29</t>
  </si>
  <si>
    <t>2011-03-28</t>
  </si>
  <si>
    <t>2011-03-27</t>
  </si>
  <si>
    <t>2011-03-23</t>
  </si>
  <si>
    <t>2011-01-27</t>
  </si>
  <si>
    <t>2011-01-26</t>
  </si>
  <si>
    <t>2011-01-24</t>
  </si>
  <si>
    <t>2011-01-23</t>
  </si>
  <si>
    <t>2011-01-20</t>
  </si>
  <si>
    <t>2011-01-19</t>
  </si>
  <si>
    <t>2011-01-18</t>
  </si>
  <si>
    <t>2011-01-17</t>
  </si>
  <si>
    <t>2011-01-16</t>
  </si>
  <si>
    <t>2011-01-13</t>
  </si>
  <si>
    <t>2011-01-12</t>
  </si>
  <si>
    <t>2011-01-11</t>
  </si>
  <si>
    <t>2011-01-10</t>
  </si>
  <si>
    <t>2011-01-06</t>
  </si>
  <si>
    <t>2011-01-05</t>
  </si>
  <si>
    <t>2011-01-04</t>
  </si>
  <si>
    <t>2011-01-03</t>
  </si>
  <si>
    <t>2011-01-02</t>
  </si>
  <si>
    <t>2010-12-30</t>
  </si>
  <si>
    <t>2010-12-29</t>
  </si>
  <si>
    <t>2010-12-28</t>
  </si>
  <si>
    <t>2010-12-27</t>
  </si>
  <si>
    <t>2010-12-26</t>
  </si>
  <si>
    <t>2010-12-23</t>
  </si>
  <si>
    <t>2010-12-22</t>
  </si>
  <si>
    <t>2010-12-21</t>
  </si>
  <si>
    <t>2010-12-20</t>
  </si>
  <si>
    <t>2010-12-19</t>
  </si>
  <si>
    <t>2010-12-16</t>
  </si>
  <si>
    <t>2010-12-15</t>
  </si>
  <si>
    <t>2010-12-14</t>
  </si>
  <si>
    <t>2010-12-13</t>
  </si>
  <si>
    <t>2010-12-12</t>
  </si>
  <si>
    <t>2010-12-09</t>
  </si>
  <si>
    <t>2010-12-08</t>
  </si>
  <si>
    <t>2010-12-06</t>
  </si>
  <si>
    <t>2010-12-05</t>
  </si>
  <si>
    <t>2010-12-02</t>
  </si>
  <si>
    <t>2010-12-01</t>
  </si>
  <si>
    <t>2010-11-30</t>
  </si>
  <si>
    <t>2010-11-29</t>
  </si>
  <si>
    <t>2010-11-28</t>
  </si>
  <si>
    <t>2010-11-25</t>
  </si>
  <si>
    <t>2010-11-24</t>
  </si>
  <si>
    <t>2010-11-23</t>
  </si>
  <si>
    <t>2010-11-22</t>
  </si>
  <si>
    <t>2010-11-21</t>
  </si>
  <si>
    <t>2010-11-18</t>
  </si>
  <si>
    <t>2010-11-14</t>
  </si>
  <si>
    <t>2010-11-11</t>
  </si>
  <si>
    <t>2010-11-10</t>
  </si>
  <si>
    <t>2010-11-09</t>
  </si>
  <si>
    <t>2010-11-08</t>
  </si>
  <si>
    <t>2010-11-07</t>
  </si>
  <si>
    <t>2010-11-04</t>
  </si>
  <si>
    <t>2010-11-03</t>
  </si>
  <si>
    <t>2010-11-02</t>
  </si>
  <si>
    <t>2010-11-01</t>
  </si>
  <si>
    <t>2010-10-31</t>
  </si>
  <si>
    <t>2010-10-28</t>
  </si>
  <si>
    <t>2010-10-27</t>
  </si>
  <si>
    <t>2010-10-26</t>
  </si>
  <si>
    <t>2010-10-25</t>
  </si>
  <si>
    <t>2010-10-24</t>
  </si>
  <si>
    <t>2010-10-21</t>
  </si>
  <si>
    <t>2010-10-20</t>
  </si>
  <si>
    <t>2010-10-19</t>
  </si>
  <si>
    <t>2010-10-18</t>
  </si>
  <si>
    <t>2010-10-17</t>
  </si>
  <si>
    <t>2010-10-14</t>
  </si>
  <si>
    <t>2010-10-13</t>
  </si>
  <si>
    <t>2010-10-12</t>
  </si>
  <si>
    <t>2010-10-11</t>
  </si>
  <si>
    <t>2010-10-10</t>
  </si>
  <si>
    <t>2010-10-07</t>
  </si>
  <si>
    <t>2010-10-05</t>
  </si>
  <si>
    <t>2010-10-04</t>
  </si>
  <si>
    <t>2010-10-03</t>
  </si>
  <si>
    <t>2010-09-30</t>
  </si>
  <si>
    <t>2010-09-29</t>
  </si>
  <si>
    <t>2010-09-28</t>
  </si>
  <si>
    <t>2010-09-27</t>
  </si>
  <si>
    <t>2010-09-26</t>
  </si>
  <si>
    <t>2010-09-23</t>
  </si>
  <si>
    <t>2010-09-22</t>
  </si>
  <si>
    <t>2010-09-21</t>
  </si>
  <si>
    <t>2010-09-20</t>
  </si>
  <si>
    <t>2010-09-19</t>
  </si>
  <si>
    <t>2010-09-16</t>
  </si>
  <si>
    <t>2010-09-15</t>
  </si>
  <si>
    <t>2010-09-14</t>
  </si>
  <si>
    <t>2010-09-13</t>
  </si>
  <si>
    <t>2010-09-08</t>
  </si>
  <si>
    <t>2010-09-07</t>
  </si>
  <si>
    <t>2010-09-06</t>
  </si>
  <si>
    <t>2010-09-05</t>
  </si>
  <si>
    <t>2010-09-02</t>
  </si>
  <si>
    <t>2010-09-01</t>
  </si>
  <si>
    <t>2010-08-31</t>
  </si>
  <si>
    <t>2010-08-30</t>
  </si>
  <si>
    <t>2010-08-29</t>
  </si>
  <si>
    <t>2010-08-26</t>
  </si>
  <si>
    <t>2010-08-25</t>
  </si>
  <si>
    <t>2010-08-24</t>
  </si>
  <si>
    <t>2010-08-23</t>
  </si>
  <si>
    <t>2010-08-22</t>
  </si>
  <si>
    <t>2010-08-19</t>
  </si>
  <si>
    <t>2010-08-18</t>
  </si>
  <si>
    <t>2010-08-17</t>
  </si>
  <si>
    <t>2010-08-16</t>
  </si>
  <si>
    <t>2010-08-15</t>
  </si>
  <si>
    <t>2010-08-12</t>
  </si>
  <si>
    <t>2010-08-11</t>
  </si>
  <si>
    <t>2010-08-10</t>
  </si>
  <si>
    <t>2010-08-09</t>
  </si>
  <si>
    <t>2010-08-08</t>
  </si>
  <si>
    <t>2010-08-05</t>
  </si>
  <si>
    <t>2010-08-04</t>
  </si>
  <si>
    <t>2010-08-03</t>
  </si>
  <si>
    <t>2010-08-02</t>
  </si>
  <si>
    <t>2010-08-01</t>
  </si>
  <si>
    <t>2010-07-29</t>
  </si>
  <si>
    <t>2010-07-28</t>
  </si>
  <si>
    <t>2010-07-27</t>
  </si>
  <si>
    <t>2010-07-26</t>
  </si>
  <si>
    <t>2010-07-25</t>
  </si>
  <si>
    <t>2010-07-22</t>
  </si>
  <si>
    <t>2010-07-21</t>
  </si>
  <si>
    <t>2010-07-20</t>
  </si>
  <si>
    <t>2010-07-19</t>
  </si>
  <si>
    <t>2010-07-18</t>
  </si>
  <si>
    <t>2010-07-15</t>
  </si>
  <si>
    <t>2010-07-14</t>
  </si>
  <si>
    <t>2010-07-13</t>
  </si>
  <si>
    <t>2010-07-12</t>
  </si>
  <si>
    <t>2010-07-11</t>
  </si>
  <si>
    <t>2010-07-08</t>
  </si>
  <si>
    <t>2010-07-07</t>
  </si>
  <si>
    <t>2010-07-06</t>
  </si>
  <si>
    <t>2010-07-05</t>
  </si>
  <si>
    <t>2010-07-04</t>
  </si>
  <si>
    <t>2010-06-30</t>
  </si>
  <si>
    <t>2010-06-29</t>
  </si>
  <si>
    <t>2010-06-28</t>
  </si>
  <si>
    <t>2010-06-27</t>
  </si>
  <si>
    <t>2010-06-24</t>
  </si>
  <si>
    <t>2010-06-23</t>
  </si>
  <si>
    <t>2010-06-22</t>
  </si>
  <si>
    <t>2010-06-21</t>
  </si>
  <si>
    <t>2010-06-20</t>
  </si>
  <si>
    <t>2010-06-17</t>
  </si>
  <si>
    <t>2010-06-16</t>
  </si>
  <si>
    <t>2010-06-15</t>
  </si>
  <si>
    <t>2010-06-14</t>
  </si>
  <si>
    <t>2010-06-13</t>
  </si>
  <si>
    <t>2010-06-10</t>
  </si>
  <si>
    <t>2010-06-09</t>
  </si>
  <si>
    <t>2010-06-08</t>
  </si>
  <si>
    <t>2010-06-07</t>
  </si>
  <si>
    <t>2010-06-06</t>
  </si>
  <si>
    <t>2010-06-03</t>
  </si>
  <si>
    <t>2010-06-02</t>
  </si>
  <si>
    <t>2010-06-01</t>
  </si>
  <si>
    <t>2010-05-31</t>
  </si>
  <si>
    <t>2010-05-30</t>
  </si>
  <si>
    <t>2010-05-27</t>
  </si>
  <si>
    <t>2010-05-26</t>
  </si>
  <si>
    <t>2010-05-25</t>
  </si>
  <si>
    <t>2010-05-24</t>
  </si>
  <si>
    <t>2010-05-23</t>
  </si>
  <si>
    <t>2010-05-20</t>
  </si>
  <si>
    <t>2010-05-19</t>
  </si>
  <si>
    <t>2010-05-18</t>
  </si>
  <si>
    <t>2010-05-17</t>
  </si>
  <si>
    <t>2010-05-16</t>
  </si>
  <si>
    <t>2010-05-13</t>
  </si>
  <si>
    <t>2010-05-12</t>
  </si>
  <si>
    <t>2010-05-11</t>
  </si>
  <si>
    <t>2010-05-10</t>
  </si>
  <si>
    <t>2010-05-09</t>
  </si>
  <si>
    <t>2010-05-06</t>
  </si>
  <si>
    <t>2010-05-05</t>
  </si>
  <si>
    <t>2010-05-04</t>
  </si>
  <si>
    <t>2010-05-03</t>
  </si>
  <si>
    <t>2010-05-02</t>
  </si>
  <si>
    <t>2010-04-29</t>
  </si>
  <si>
    <t>2010-04-28</t>
  </si>
  <si>
    <t>2010-04-27</t>
  </si>
  <si>
    <t>2010-04-26</t>
  </si>
  <si>
    <t>2010-04-22</t>
  </si>
  <si>
    <t>2010-04-21</t>
  </si>
  <si>
    <t>2010-04-20</t>
  </si>
  <si>
    <t>2010-04-19</t>
  </si>
  <si>
    <t>2010-04-18</t>
  </si>
  <si>
    <t>2010-04-15</t>
  </si>
  <si>
    <t>2010-04-14</t>
  </si>
  <si>
    <t>2010-04-13</t>
  </si>
  <si>
    <t>2010-04-12</t>
  </si>
  <si>
    <t>2010-04-11</t>
  </si>
  <si>
    <t>2010-04-08</t>
  </si>
  <si>
    <t>2010-04-07</t>
  </si>
  <si>
    <t>2010-04-06</t>
  </si>
  <si>
    <t>2010-04-01</t>
  </si>
  <si>
    <t>2010-03-31</t>
  </si>
  <si>
    <t>2010-03-30</t>
  </si>
  <si>
    <t>2010-03-29</t>
  </si>
  <si>
    <t>2010-03-28</t>
  </si>
  <si>
    <t>2010-03-25</t>
  </si>
  <si>
    <t>2010-03-24</t>
  </si>
  <si>
    <t>2010-03-23</t>
  </si>
  <si>
    <t>2010-03-22</t>
  </si>
  <si>
    <t>2010-03-21</t>
  </si>
  <si>
    <t>2010-03-18</t>
  </si>
  <si>
    <t>2010-03-17</t>
  </si>
  <si>
    <t>2010-03-16</t>
  </si>
  <si>
    <t>2010-03-15</t>
  </si>
  <si>
    <t>2010-03-14</t>
  </si>
  <si>
    <t>2010-03-11</t>
  </si>
  <si>
    <t>2010-03-10</t>
  </si>
  <si>
    <t>2010-03-09</t>
  </si>
  <si>
    <t>2010-03-08</t>
  </si>
  <si>
    <t>2010-03-07</t>
  </si>
  <si>
    <t>2010-03-04</t>
  </si>
  <si>
    <t>2010-03-03</t>
  </si>
  <si>
    <t>2010-03-02</t>
  </si>
  <si>
    <t>2010-03-01</t>
  </si>
  <si>
    <t>2010-02-28</t>
  </si>
  <si>
    <t>2010-02-25</t>
  </si>
  <si>
    <t>2010-02-24</t>
  </si>
  <si>
    <t>2010-02-23</t>
  </si>
  <si>
    <t>2010-02-22</t>
  </si>
  <si>
    <t>2010-02-21</t>
  </si>
  <si>
    <t>2010-02-18</t>
  </si>
  <si>
    <t>2010-02-17</t>
  </si>
  <si>
    <t>2010-02-16</t>
  </si>
  <si>
    <t>2010-02-15</t>
  </si>
  <si>
    <t>2010-02-14</t>
  </si>
  <si>
    <t>2010-02-11</t>
  </si>
  <si>
    <t>2010-02-10</t>
  </si>
  <si>
    <t>2010-02-09</t>
  </si>
  <si>
    <t>2010-02-08</t>
  </si>
  <si>
    <t>2010-02-07</t>
  </si>
  <si>
    <t>2010-02-04</t>
  </si>
  <si>
    <t>2010-02-03</t>
  </si>
  <si>
    <t>2010-02-02</t>
  </si>
  <si>
    <t>2010-02-01</t>
  </si>
  <si>
    <t>2010-01-31</t>
  </si>
  <si>
    <t>2010-01-28</t>
  </si>
  <si>
    <t>2010-01-27</t>
  </si>
  <si>
    <t>2010-01-26</t>
  </si>
  <si>
    <t>2010-01-24</t>
  </si>
  <si>
    <t>2010-01-21</t>
  </si>
  <si>
    <t>2010-01-20</t>
  </si>
  <si>
    <t>2010-01-19</t>
  </si>
  <si>
    <t>2010-01-18</t>
  </si>
  <si>
    <t>2010-01-17</t>
  </si>
  <si>
    <t>2010-01-14</t>
  </si>
  <si>
    <t>2010-01-13</t>
  </si>
  <si>
    <t>2010-01-12</t>
  </si>
  <si>
    <t>2010-01-11</t>
  </si>
  <si>
    <t>2010-01-10</t>
  </si>
  <si>
    <t>2010-01-06</t>
  </si>
  <si>
    <t>2010-01-05</t>
  </si>
  <si>
    <t>2010-01-04</t>
  </si>
  <si>
    <t>2009-12-31</t>
  </si>
  <si>
    <t>2009-12-30</t>
  </si>
  <si>
    <t>2009-12-28</t>
  </si>
  <si>
    <t>2009-12-27</t>
  </si>
  <si>
    <t>2009-12-23</t>
  </si>
  <si>
    <t>2009-12-22</t>
  </si>
  <si>
    <t>2009-12-21</t>
  </si>
  <si>
    <t>2009-12-20</t>
  </si>
  <si>
    <t>2009-12-17</t>
  </si>
  <si>
    <t>2009-12-16</t>
  </si>
  <si>
    <t>2009-12-15</t>
  </si>
  <si>
    <t>2009-12-14</t>
  </si>
  <si>
    <t>2009-12-13</t>
  </si>
  <si>
    <t>2009-12-10</t>
  </si>
  <si>
    <t>2009-12-09</t>
  </si>
  <si>
    <t>2009-12-08</t>
  </si>
  <si>
    <t>2009-12-07</t>
  </si>
  <si>
    <t>2009-12-06</t>
  </si>
  <si>
    <t>2009-12-03</t>
  </si>
  <si>
    <t>2009-12-02</t>
  </si>
  <si>
    <t>2009-12-01</t>
  </si>
  <si>
    <t>2009-11-25</t>
  </si>
  <si>
    <t>2009-11-24</t>
  </si>
  <si>
    <t>2009-11-23</t>
  </si>
  <si>
    <t>2009-11-22</t>
  </si>
  <si>
    <t>2009-11-19</t>
  </si>
  <si>
    <t>2009-11-18</t>
  </si>
  <si>
    <t>2009-11-17</t>
  </si>
  <si>
    <t>2009-11-16</t>
  </si>
  <si>
    <t>2009-11-15</t>
  </si>
  <si>
    <t>2009-11-12</t>
  </si>
  <si>
    <t>2009-11-11</t>
  </si>
  <si>
    <t>2009-11-10</t>
  </si>
  <si>
    <t>2009-11-09</t>
  </si>
  <si>
    <t>2009-11-05</t>
  </si>
  <si>
    <t>2009-11-03</t>
  </si>
  <si>
    <t>2009-11-02</t>
  </si>
  <si>
    <t>2009-11-01</t>
  </si>
  <si>
    <t>2009-10-28</t>
  </si>
  <si>
    <t>2009-10-27</t>
  </si>
  <si>
    <t>2009-10-26</t>
  </si>
  <si>
    <t>2009-10-25</t>
  </si>
  <si>
    <t>2009-10-08</t>
  </si>
  <si>
    <t>2009-10-07</t>
  </si>
  <si>
    <t>2009-10-05</t>
  </si>
  <si>
    <t>2009-10-04</t>
  </si>
  <si>
    <t>2009-10-01</t>
  </si>
  <si>
    <t>2009-09-30</t>
  </si>
  <si>
    <t>2009-09-29</t>
  </si>
  <si>
    <t>2009-09-28</t>
  </si>
  <si>
    <t>2009-09-27</t>
  </si>
  <si>
    <t>2009-09-24</t>
  </si>
  <si>
    <t>2009-09-23</t>
  </si>
  <si>
    <t>2009-09-22</t>
  </si>
  <si>
    <t>2009-09-17</t>
  </si>
  <si>
    <t>2009-09-16</t>
  </si>
  <si>
    <t>2009-09-15</t>
  </si>
  <si>
    <t>2009-09-14</t>
  </si>
  <si>
    <t>2009-09-13</t>
  </si>
  <si>
    <t>2009-09-10</t>
  </si>
  <si>
    <t>2009-09-09</t>
  </si>
  <si>
    <t>2009-09-08</t>
  </si>
  <si>
    <t>2009-09-07</t>
  </si>
  <si>
    <t>2009-09-06</t>
  </si>
  <si>
    <t>2009-09-03</t>
  </si>
  <si>
    <t>2009-09-02</t>
  </si>
  <si>
    <t>2009-09-01</t>
  </si>
  <si>
    <t>2009-08-31</t>
  </si>
  <si>
    <t>2009-08-30</t>
  </si>
  <si>
    <t>2009-08-27</t>
  </si>
  <si>
    <t>2009-08-26</t>
  </si>
  <si>
    <t>2009-08-25</t>
  </si>
  <si>
    <t>2009-08-24</t>
  </si>
  <si>
    <t>2009-08-23</t>
  </si>
  <si>
    <t>2009-08-20</t>
  </si>
  <si>
    <t>2009-08-19</t>
  </si>
  <si>
    <t>2009-08-18</t>
  </si>
  <si>
    <t>2009-08-17</t>
  </si>
  <si>
    <t>2009-08-16</t>
  </si>
  <si>
    <t>2009-08-13</t>
  </si>
  <si>
    <t>2009-08-12</t>
  </si>
  <si>
    <t>2009-08-10</t>
  </si>
  <si>
    <t>2009-08-09</t>
  </si>
  <si>
    <t>2009-08-06</t>
  </si>
  <si>
    <t>2009-08-05</t>
  </si>
  <si>
    <t>2009-08-04</t>
  </si>
  <si>
    <t>2009-08-03</t>
  </si>
  <si>
    <t>2009-07-30</t>
  </si>
  <si>
    <t>2009-07-29</t>
  </si>
  <si>
    <t>2009-07-28</t>
  </si>
  <si>
    <t>2009-07-27</t>
  </si>
  <si>
    <t>2009-07-26</t>
  </si>
  <si>
    <t>2009-07-22</t>
  </si>
  <si>
    <t>2009-07-21</t>
  </si>
  <si>
    <t>2009-07-20</t>
  </si>
  <si>
    <t>2009-07-19</t>
  </si>
  <si>
    <t>2009-07-16</t>
  </si>
  <si>
    <t>2009-07-15</t>
  </si>
  <si>
    <t>2009-07-13</t>
  </si>
  <si>
    <t>2009-07-12</t>
  </si>
  <si>
    <t>2009-07-09</t>
  </si>
  <si>
    <t>2009-07-07</t>
  </si>
  <si>
    <t>2009-07-06</t>
  </si>
  <si>
    <t>2009-07-02</t>
  </si>
  <si>
    <t>2009-06-30</t>
  </si>
  <si>
    <t>2009-06-25</t>
  </si>
  <si>
    <t>2009-06-24</t>
  </si>
  <si>
    <t>2009-06-23</t>
  </si>
  <si>
    <t>2009-06-22</t>
  </si>
  <si>
    <t>2009-06-21</t>
  </si>
  <si>
    <t>2009-06-18</t>
  </si>
  <si>
    <t>2009-06-16</t>
  </si>
  <si>
    <t>2009-06-15</t>
  </si>
  <si>
    <t>2009-06-14</t>
  </si>
  <si>
    <t>2009-06-11</t>
  </si>
  <si>
    <t>2009-05-31</t>
  </si>
  <si>
    <t>2009-05-28</t>
  </si>
  <si>
    <t>2009-05-21</t>
  </si>
  <si>
    <t>2009-05-20</t>
  </si>
  <si>
    <t>2009-05-19</t>
  </si>
  <si>
    <t>2009-05-18</t>
  </si>
  <si>
    <t>2009-04-22</t>
  </si>
  <si>
    <t>2009-04-21</t>
  </si>
  <si>
    <t>2009-04-16</t>
  </si>
  <si>
    <t>2009-04-15</t>
  </si>
  <si>
    <t>2009-04-14</t>
  </si>
  <si>
    <t>2009-04-13</t>
  </si>
  <si>
    <t>2009-04-08</t>
  </si>
  <si>
    <t>2009-04-07</t>
  </si>
  <si>
    <t>2009-04-06</t>
  </si>
  <si>
    <t>2009-04-05</t>
  </si>
  <si>
    <t>2009-04-01</t>
  </si>
  <si>
    <t>2009-03-31</t>
  </si>
  <si>
    <t>2009-03-30</t>
  </si>
  <si>
    <t>2009-03-29</t>
  </si>
  <si>
    <t>2009-03-26</t>
  </si>
  <si>
    <t>2009-03-25</t>
  </si>
  <si>
    <t>2009-03-24</t>
  </si>
  <si>
    <t>2009-03-23</t>
  </si>
  <si>
    <t>2009-03-22</t>
  </si>
  <si>
    <t>2009-03-19</t>
  </si>
  <si>
    <t>2009-03-18</t>
  </si>
  <si>
    <t>2009-03-17</t>
  </si>
  <si>
    <t>2009-03-16</t>
  </si>
  <si>
    <t>2009-03-15</t>
  </si>
  <si>
    <t>2009-03-12</t>
  </si>
  <si>
    <t>2009-03-11</t>
  </si>
  <si>
    <t>2009-03-08</t>
  </si>
  <si>
    <t>2009-03-05</t>
  </si>
  <si>
    <t>2009-03-04</t>
  </si>
  <si>
    <t>2009-03-03</t>
  </si>
  <si>
    <t>2009-03-02</t>
  </si>
  <si>
    <t>2009-03-01</t>
  </si>
  <si>
    <t>2009-02-25</t>
  </si>
  <si>
    <t>2009-02-16</t>
  </si>
  <si>
    <t>2009-02-15</t>
  </si>
  <si>
    <t>2009-02-04</t>
  </si>
  <si>
    <t>2009-02-02</t>
  </si>
  <si>
    <t>2009-01-28</t>
  </si>
  <si>
    <t>2009-01-27</t>
  </si>
  <si>
    <t>2009-01-21</t>
  </si>
  <si>
    <t>2009-01-18</t>
  </si>
  <si>
    <t>2009-01-15</t>
  </si>
  <si>
    <t>2009-01-14</t>
  </si>
  <si>
    <t>2009-01-13</t>
  </si>
  <si>
    <t>2009-01-11</t>
  </si>
  <si>
    <t>2009-01-08</t>
  </si>
  <si>
    <t>2009-01-06</t>
  </si>
  <si>
    <t>2009-01-05</t>
  </si>
  <si>
    <t>2008-12-31</t>
  </si>
  <si>
    <t>2008-12-30</t>
  </si>
  <si>
    <t>2008-12-24</t>
  </si>
  <si>
    <t>2008-12-23</t>
  </si>
  <si>
    <t>2008-12-22</t>
  </si>
  <si>
    <t>2008-12-21</t>
  </si>
  <si>
    <t>2008-12-17</t>
  </si>
  <si>
    <t>2008-12-11</t>
  </si>
  <si>
    <t>2008-12-10</t>
  </si>
  <si>
    <t>2008-12-04</t>
  </si>
  <si>
    <t>2008-11-24</t>
  </si>
  <si>
    <t>2008-11-19</t>
  </si>
  <si>
    <t>2008-11-17</t>
  </si>
  <si>
    <t>2008-11-16</t>
  </si>
  <si>
    <t>2008-11-13</t>
  </si>
  <si>
    <t>2008-11-12</t>
  </si>
  <si>
    <t>2008-11-11</t>
  </si>
  <si>
    <t>2008-11-09</t>
  </si>
  <si>
    <t>2008-11-06</t>
  </si>
  <si>
    <t>2008-11-05</t>
  </si>
  <si>
    <t>2008-11-04</t>
  </si>
  <si>
    <t>2008-10-30</t>
  </si>
  <si>
    <t>2008-10-29</t>
  </si>
  <si>
    <t>2008-10-28</t>
  </si>
  <si>
    <t>2008-10-27</t>
  </si>
  <si>
    <t>2008-10-26</t>
  </si>
  <si>
    <t>2008-10-23</t>
  </si>
  <si>
    <t>2008-10-22</t>
  </si>
  <si>
    <t>2008-10-21</t>
  </si>
  <si>
    <t>2008-10-20</t>
  </si>
  <si>
    <t>2008-10-19</t>
  </si>
  <si>
    <t>2008-10-16</t>
  </si>
  <si>
    <t>2008-10-15</t>
  </si>
  <si>
    <t>2008-10-13</t>
  </si>
  <si>
    <t>2008-10-12</t>
  </si>
  <si>
    <t>2008-10-08</t>
  </si>
  <si>
    <t>2008-10-07</t>
  </si>
  <si>
    <t>2008-09-28</t>
  </si>
  <si>
    <t>2008-09-25</t>
  </si>
  <si>
    <t>2008-09-24</t>
  </si>
  <si>
    <t>2008-09-23</t>
  </si>
  <si>
    <t>2008-09-21</t>
  </si>
  <si>
    <t>2008-09-18</t>
  </si>
  <si>
    <t>2008-09-16</t>
  </si>
  <si>
    <t>2008-09-15</t>
  </si>
  <si>
    <t>2008-09-14</t>
  </si>
  <si>
    <t>2008-09-11</t>
  </si>
  <si>
    <t>2008-09-10</t>
  </si>
  <si>
    <t>2008-09-07</t>
  </si>
  <si>
    <t>2008-09-04</t>
  </si>
  <si>
    <t>2008-09-02</t>
  </si>
  <si>
    <t>2008-08-28</t>
  </si>
  <si>
    <t>2008-08-27</t>
  </si>
  <si>
    <t>2008-08-26</t>
  </si>
  <si>
    <t>2008-08-25</t>
  </si>
  <si>
    <t>2008-08-24</t>
  </si>
  <si>
    <t>2008-08-21</t>
  </si>
  <si>
    <t>2008-08-19</t>
  </si>
  <si>
    <t>2008-08-18</t>
  </si>
  <si>
    <t>2008-08-17</t>
  </si>
  <si>
    <t>2008-08-14</t>
  </si>
  <si>
    <t>2008-08-12</t>
  </si>
  <si>
    <t>2008-08-10</t>
  </si>
  <si>
    <t>2008-08-07</t>
  </si>
  <si>
    <t>2008-08-06</t>
  </si>
  <si>
    <t>2008-08-05</t>
  </si>
  <si>
    <t>2008-08-04</t>
  </si>
  <si>
    <t>2008-08-03</t>
  </si>
  <si>
    <t>2008-07-31</t>
  </si>
  <si>
    <t>2008-07-30</t>
  </si>
  <si>
    <t>2008-07-29</t>
  </si>
  <si>
    <t>2008-07-28</t>
  </si>
  <si>
    <t>2008-07-27</t>
  </si>
  <si>
    <t>2008-07-24</t>
  </si>
  <si>
    <t>2008-07-22</t>
  </si>
  <si>
    <t>2008-07-21</t>
  </si>
  <si>
    <t>2008-07-20</t>
  </si>
  <si>
    <t>2008-07-17</t>
  </si>
  <si>
    <t>2008-07-16</t>
  </si>
  <si>
    <t>2008-07-15</t>
  </si>
  <si>
    <t>2008-07-14</t>
  </si>
  <si>
    <t>2008-07-13</t>
  </si>
  <si>
    <t>2008-07-10</t>
  </si>
  <si>
    <t>2008-07-08</t>
  </si>
  <si>
    <t>2008-07-07</t>
  </si>
  <si>
    <t>2008-07-06</t>
  </si>
  <si>
    <t>2008-07-03</t>
  </si>
  <si>
    <t>2008-07-02</t>
  </si>
  <si>
    <t>2008-06-30</t>
  </si>
  <si>
    <t>2008-06-29</t>
  </si>
  <si>
    <t>2008-06-26</t>
  </si>
  <si>
    <t>2008-06-25</t>
  </si>
  <si>
    <t>2008-06-24</t>
  </si>
  <si>
    <t>2008-06-23</t>
  </si>
  <si>
    <t>2008-06-22</t>
  </si>
  <si>
    <t>2008-06-19</t>
  </si>
  <si>
    <t>2008-06-18</t>
  </si>
  <si>
    <t>2008-06-17</t>
  </si>
  <si>
    <t>2008-06-16</t>
  </si>
  <si>
    <t>2008-06-15</t>
  </si>
  <si>
    <t>2008-06-12</t>
  </si>
  <si>
    <t>2008-06-11</t>
  </si>
  <si>
    <t>2008-06-10</t>
  </si>
  <si>
    <t>2008-06-09</t>
  </si>
  <si>
    <t>2008-06-08</t>
  </si>
  <si>
    <t>2008-06-05</t>
  </si>
  <si>
    <t>2008-06-02</t>
  </si>
  <si>
    <t>2008-06-01</t>
  </si>
  <si>
    <t>2008-05-29</t>
  </si>
  <si>
    <t>2008-05-28</t>
  </si>
  <si>
    <t>2008-05-27</t>
  </si>
  <si>
    <t>2008-05-26</t>
  </si>
  <si>
    <t>2008-05-22</t>
  </si>
  <si>
    <t>2008-05-21</t>
  </si>
  <si>
    <t>2008-05-20</t>
  </si>
  <si>
    <t>2008-05-19</t>
  </si>
  <si>
    <t>2008-05-15</t>
  </si>
  <si>
    <t>2008-05-14</t>
  </si>
  <si>
    <t>2008-05-13</t>
  </si>
  <si>
    <t>2008-05-12</t>
  </si>
  <si>
    <t>2008-05-11</t>
  </si>
  <si>
    <t>2008-05-08</t>
  </si>
  <si>
    <t>2008-05-07</t>
  </si>
  <si>
    <t>2008-05-06</t>
  </si>
  <si>
    <t>2008-05-05</t>
  </si>
  <si>
    <t>2008-05-04</t>
  </si>
  <si>
    <t>2008-04-30</t>
  </si>
  <si>
    <t>2008-04-24</t>
  </si>
  <si>
    <t>2008-04-23</t>
  </si>
  <si>
    <t>2008-04-22</t>
  </si>
  <si>
    <t>2008-04-21</t>
  </si>
  <si>
    <t>2008-04-20</t>
  </si>
  <si>
    <t>2008-04-17</t>
  </si>
  <si>
    <t>2008-04-16</t>
  </si>
  <si>
    <t>2008-04-15</t>
  </si>
  <si>
    <t>2008-04-14</t>
  </si>
  <si>
    <t>2008-04-13</t>
  </si>
  <si>
    <t>2008-04-10</t>
  </si>
  <si>
    <t>2008-04-09</t>
  </si>
  <si>
    <t>2008-04-08</t>
  </si>
  <si>
    <t>2008-04-07</t>
  </si>
  <si>
    <t>2008-04-03</t>
  </si>
  <si>
    <t>2008-04-02</t>
  </si>
  <si>
    <t>2008-03-31</t>
  </si>
  <si>
    <t>2008-03-30</t>
  </si>
  <si>
    <t>2008-03-27</t>
  </si>
  <si>
    <t>2008-03-26</t>
  </si>
  <si>
    <t>2008-03-25</t>
  </si>
  <si>
    <t>2008-03-24</t>
  </si>
  <si>
    <t>2008-03-23</t>
  </si>
  <si>
    <t>2008-03-19</t>
  </si>
  <si>
    <t>2008-03-18</t>
  </si>
  <si>
    <t>2008-03-17</t>
  </si>
  <si>
    <t>2008-03-13</t>
  </si>
  <si>
    <t>2008-03-12</t>
  </si>
  <si>
    <t>2008-03-10</t>
  </si>
  <si>
    <t>2008-03-09</t>
  </si>
  <si>
    <t>2008-03-06</t>
  </si>
  <si>
    <t>2008-03-05</t>
  </si>
  <si>
    <t>2008-03-04</t>
  </si>
  <si>
    <t>2008-03-03</t>
  </si>
  <si>
    <t>2008-03-02</t>
  </si>
  <si>
    <t>2008-02-28</t>
  </si>
  <si>
    <t>2008-02-27</t>
  </si>
  <si>
    <t>2008-02-26</t>
  </si>
  <si>
    <t>2008-02-25</t>
  </si>
  <si>
    <t>2008-02-21</t>
  </si>
  <si>
    <t>2008-02-20</t>
  </si>
  <si>
    <t>2008-02-19</t>
  </si>
  <si>
    <t>2008-02-18</t>
  </si>
  <si>
    <t>2008-02-17</t>
  </si>
  <si>
    <t>2008-02-14</t>
  </si>
  <si>
    <t>2008-02-13</t>
  </si>
  <si>
    <t>2008-02-11</t>
  </si>
  <si>
    <t>2008-02-10</t>
  </si>
  <si>
    <t>2008-02-07</t>
  </si>
  <si>
    <t>2008-02-06</t>
  </si>
  <si>
    <t>2008-02-05</t>
  </si>
  <si>
    <t>2008-02-04</t>
  </si>
  <si>
    <t>2008-02-03</t>
  </si>
  <si>
    <t>2008-01-31</t>
  </si>
  <si>
    <t>2008-01-30</t>
  </si>
  <si>
    <t>2008-01-29</t>
  </si>
  <si>
    <t>2008-01-28</t>
  </si>
  <si>
    <t>2008-01-27</t>
  </si>
  <si>
    <t>2008-01-24</t>
  </si>
  <si>
    <t>2008-01-23</t>
  </si>
  <si>
    <t>2008-01-22</t>
  </si>
  <si>
    <t>2008-01-21</t>
  </si>
  <si>
    <t>2008-01-20</t>
  </si>
  <si>
    <t>2008-01-17</t>
  </si>
  <si>
    <t>2008-01-16</t>
  </si>
  <si>
    <t>2008-01-15</t>
  </si>
  <si>
    <t>2008-01-14</t>
  </si>
  <si>
    <t>2008-01-13</t>
  </si>
  <si>
    <t>2008-01-10</t>
  </si>
  <si>
    <t>2008-01-08</t>
  </si>
  <si>
    <t>2008-01-06</t>
  </si>
  <si>
    <t>2008-01-03</t>
  </si>
  <si>
    <t>2008-01-02</t>
  </si>
  <si>
    <t>2007-12-31</t>
  </si>
  <si>
    <t>2007-12-30</t>
  </si>
  <si>
    <t>2007-12-27</t>
  </si>
  <si>
    <t>2007-12-25</t>
  </si>
  <si>
    <t>2007-12-24</t>
  </si>
  <si>
    <t>2007-12-23</t>
  </si>
  <si>
    <t>2007-12-17</t>
  </si>
  <si>
    <t>2007-12-16</t>
  </si>
  <si>
    <t>2007-12-13</t>
  </si>
  <si>
    <t>2007-12-12</t>
  </si>
  <si>
    <t>2007-12-11</t>
  </si>
  <si>
    <t>2007-12-10</t>
  </si>
  <si>
    <t>2007-12-09</t>
  </si>
  <si>
    <t>2007-12-06</t>
  </si>
  <si>
    <t>2007-12-04</t>
  </si>
  <si>
    <t>2007-12-03</t>
  </si>
  <si>
    <t>2007-11-29</t>
  </si>
  <si>
    <t>2007-11-28</t>
  </si>
  <si>
    <t>2007-11-27</t>
  </si>
  <si>
    <t>2007-11-26</t>
  </si>
  <si>
    <t>2007-11-25</t>
  </si>
  <si>
    <t>2007-11-22</t>
  </si>
  <si>
    <t>2007-11-21</t>
  </si>
  <si>
    <t>2007-11-20</t>
  </si>
  <si>
    <t>2007-11-19</t>
  </si>
  <si>
    <t>2007-11-18</t>
  </si>
  <si>
    <t>2007-11-15</t>
  </si>
  <si>
    <t>2007-11-14</t>
  </si>
  <si>
    <t>2007-11-13</t>
  </si>
  <si>
    <t>2007-11-11</t>
  </si>
  <si>
    <t>2007-11-08</t>
  </si>
  <si>
    <t>2007-11-07</t>
  </si>
  <si>
    <t>2007-11-06</t>
  </si>
  <si>
    <t>2007-11-05</t>
  </si>
  <si>
    <t>2007-11-04</t>
  </si>
  <si>
    <t>2007-11-01</t>
  </si>
  <si>
    <t>2007-10-31</t>
  </si>
  <si>
    <t>2007-10-30</t>
  </si>
  <si>
    <t>2007-10-29</t>
  </si>
  <si>
    <t>2007-10-25</t>
  </si>
  <si>
    <t>2007-10-24</t>
  </si>
  <si>
    <t>2007-10-23</t>
  </si>
  <si>
    <t>2007-10-22</t>
  </si>
  <si>
    <t>2007-10-21</t>
  </si>
  <si>
    <t>2007-10-18</t>
  </si>
  <si>
    <t>2007-10-17</t>
  </si>
  <si>
    <t>2007-10-16</t>
  </si>
  <si>
    <t>2007-10-11</t>
  </si>
  <si>
    <t>2007-10-10</t>
  </si>
  <si>
    <t>2007-10-09</t>
  </si>
  <si>
    <t>2007-10-08</t>
  </si>
  <si>
    <t>2007-10-03</t>
  </si>
  <si>
    <t>2007-10-02</t>
  </si>
  <si>
    <t>2007-10-01</t>
  </si>
  <si>
    <t>2007-09-30</t>
  </si>
  <si>
    <t>2007-09-27</t>
  </si>
  <si>
    <t>2007-09-26</t>
  </si>
  <si>
    <t>2007-09-25</t>
  </si>
  <si>
    <t>2007-09-24</t>
  </si>
  <si>
    <t>2007-09-23</t>
  </si>
  <si>
    <t>2007-09-19</t>
  </si>
  <si>
    <t>2007-09-18</t>
  </si>
  <si>
    <t>2007-09-17</t>
  </si>
  <si>
    <t>2007-09-16</t>
  </si>
  <si>
    <t>2007-09-13</t>
  </si>
  <si>
    <t>2007-09-12</t>
  </si>
  <si>
    <t>2007-09-11</t>
  </si>
  <si>
    <t>2007-09-10</t>
  </si>
  <si>
    <t>2007-09-06</t>
  </si>
  <si>
    <t>2007-09-05</t>
  </si>
  <si>
    <t>2007-09-04</t>
  </si>
  <si>
    <t>2007-09-03</t>
  </si>
  <si>
    <t>2007-09-02</t>
  </si>
  <si>
    <t>2007-08-30</t>
  </si>
  <si>
    <t>2007-08-29</t>
  </si>
  <si>
    <t>2007-08-28</t>
  </si>
  <si>
    <t>2007-08-27</t>
  </si>
  <si>
    <t>2007-08-26</t>
  </si>
  <si>
    <t>2007-08-23</t>
  </si>
  <si>
    <t>2007-08-22</t>
  </si>
  <si>
    <t>2007-08-21</t>
  </si>
  <si>
    <t>2007-08-19</t>
  </si>
  <si>
    <t>2007-08-16</t>
  </si>
  <si>
    <t>2007-08-14</t>
  </si>
  <si>
    <t>2007-08-13</t>
  </si>
  <si>
    <t>2007-08-12</t>
  </si>
  <si>
    <t>2007-08-09</t>
  </si>
  <si>
    <t>2007-08-08</t>
  </si>
  <si>
    <t>2007-08-06</t>
  </si>
  <si>
    <t>2007-08-05</t>
  </si>
  <si>
    <t>2007-08-02</t>
  </si>
  <si>
    <t>2007-07-26</t>
  </si>
  <si>
    <t>2007-07-25</t>
  </si>
  <si>
    <t>2007-07-11</t>
  </si>
  <si>
    <t>2007-07-08</t>
  </si>
  <si>
    <t>2007-07-05</t>
  </si>
  <si>
    <t>2007-06-24</t>
  </si>
  <si>
    <t>2007-06-21</t>
  </si>
  <si>
    <t>2007-06-19</t>
  </si>
  <si>
    <t>2007-06-17</t>
  </si>
  <si>
    <t>2007-06-14</t>
  </si>
  <si>
    <t>2007-06-12</t>
  </si>
  <si>
    <t>2007-06-11</t>
  </si>
  <si>
    <t>2007-06-10</t>
  </si>
  <si>
    <t>2007-06-07</t>
  </si>
  <si>
    <t>2007-06-06</t>
  </si>
  <si>
    <t>2007-06-05</t>
  </si>
  <si>
    <t>2007-06-04</t>
  </si>
  <si>
    <t>2007-05-31</t>
  </si>
  <si>
    <t>2007-05-30</t>
  </si>
  <si>
    <t>2007-05-29</t>
  </si>
  <si>
    <t>2007-05-28</t>
  </si>
  <si>
    <t>2007-05-27</t>
  </si>
  <si>
    <t>2007-05-23</t>
  </si>
  <si>
    <t>2007-05-22</t>
  </si>
  <si>
    <t>2007-05-21</t>
  </si>
  <si>
    <t>2007-05-20</t>
  </si>
  <si>
    <t>2007-05-16</t>
  </si>
  <si>
    <t>2007-05-15</t>
  </si>
  <si>
    <t>2007-05-14</t>
  </si>
  <si>
    <t>2007-05-08</t>
  </si>
  <si>
    <t>2007-05-02</t>
  </si>
  <si>
    <t>2007-04-29</t>
  </si>
  <si>
    <t>2007-04-24</t>
  </si>
  <si>
    <t>2007-04-23</t>
  </si>
  <si>
    <t>2007-04-18</t>
  </si>
  <si>
    <t>2007-04-17</t>
  </si>
  <si>
    <t>2007-04-16</t>
  </si>
  <si>
    <t>2007-04-12</t>
  </si>
  <si>
    <t>2007-04-11</t>
  </si>
  <si>
    <t>2007-04-10</t>
  </si>
  <si>
    <t>2007-04-05</t>
  </si>
  <si>
    <t>2007-04-04</t>
  </si>
  <si>
    <t>2007-04-03</t>
  </si>
  <si>
    <t>2007-03-28</t>
  </si>
  <si>
    <t>2007-03-27</t>
  </si>
  <si>
    <t>2007-03-26</t>
  </si>
  <si>
    <t>2007-03-20</t>
  </si>
  <si>
    <t>2007-03-19</t>
  </si>
  <si>
    <t>2007-03-15</t>
  </si>
  <si>
    <t>2007-03-06</t>
  </si>
  <si>
    <t>2007-03-05</t>
  </si>
  <si>
    <t>2007-02-25</t>
  </si>
  <si>
    <t>2007-02-22</t>
  </si>
  <si>
    <t>2007-02-21</t>
  </si>
  <si>
    <t>2007-02-20</t>
  </si>
  <si>
    <t>2007-02-14</t>
  </si>
  <si>
    <t>2007-02-08</t>
  </si>
  <si>
    <t>2007-02-07</t>
  </si>
  <si>
    <t>2007-02-06</t>
  </si>
  <si>
    <t>2007-02-05</t>
  </si>
  <si>
    <t>2007-02-01</t>
  </si>
  <si>
    <t>2007-01-29</t>
  </si>
  <si>
    <t>2007-01-28</t>
  </si>
  <si>
    <t>2007-01-25</t>
  </si>
  <si>
    <t>2007-01-18</t>
  </si>
  <si>
    <t>2007-01-15</t>
  </si>
  <si>
    <t>2007-01-11</t>
  </si>
  <si>
    <t>2007-01-10</t>
  </si>
  <si>
    <t>2007-01-09</t>
  </si>
  <si>
    <t>2007-01-08</t>
  </si>
  <si>
    <t>2006-12-27</t>
  </si>
  <si>
    <t>2006-12-25</t>
  </si>
  <si>
    <t>2006-12-21</t>
  </si>
  <si>
    <t>2006-12-20</t>
  </si>
  <si>
    <t>2006-12-19</t>
  </si>
  <si>
    <t>2006-12-13</t>
  </si>
  <si>
    <t>2006-12-12</t>
  </si>
  <si>
    <t>2006-12-11</t>
  </si>
  <si>
    <t>2006-12-10</t>
  </si>
  <si>
    <t>2006-12-07</t>
  </si>
  <si>
    <t>2006-12-06</t>
  </si>
  <si>
    <t>2006-12-05</t>
  </si>
  <si>
    <t>2006-12-03</t>
  </si>
  <si>
    <t>2006-11-29</t>
  </si>
  <si>
    <t>2006-11-28</t>
  </si>
  <si>
    <t>2006-11-21</t>
  </si>
  <si>
    <t>2006-11-16</t>
  </si>
  <si>
    <t>2006-11-14</t>
  </si>
  <si>
    <t>2006-11-13</t>
  </si>
  <si>
    <t>2006-11-09</t>
  </si>
  <si>
    <t>2006-11-08</t>
  </si>
  <si>
    <t>2006-11-07</t>
  </si>
  <si>
    <t>2006-11-06</t>
  </si>
  <si>
    <t>2006-11-05</t>
  </si>
  <si>
    <t>2006-11-02</t>
  </si>
  <si>
    <t>2006-10-31</t>
  </si>
  <si>
    <t>2006-10-30</t>
  </si>
  <si>
    <t>2006-10-17</t>
  </si>
  <si>
    <t>2006-10-11</t>
  </si>
  <si>
    <t>2006-10-10</t>
  </si>
  <si>
    <t>2006-10-09</t>
  </si>
  <si>
    <t>2006-10-08</t>
  </si>
  <si>
    <t>2006-10-03</t>
  </si>
  <si>
    <t>2006-10-02</t>
  </si>
  <si>
    <t>2006-09-28</t>
  </si>
  <si>
    <t>2006-09-27</t>
  </si>
  <si>
    <t>2006-09-21</t>
  </si>
  <si>
    <t>2006-09-20</t>
  </si>
  <si>
    <t>2006-09-18</t>
  </si>
  <si>
    <t>2006-09-11</t>
  </si>
  <si>
    <t>2006-09-10</t>
  </si>
  <si>
    <t>2006-09-03</t>
  </si>
  <si>
    <t>2006-08-23</t>
  </si>
  <si>
    <t>2006-08-17</t>
  </si>
  <si>
    <t>2006-08-14</t>
  </si>
  <si>
    <t>2006-08-10</t>
  </si>
  <si>
    <t>2006-08-06</t>
  </si>
  <si>
    <t>2006-08-03</t>
  </si>
  <si>
    <t>2006-07-25</t>
  </si>
  <si>
    <t>2006-07-20</t>
  </si>
  <si>
    <t>2006-07-18</t>
  </si>
  <si>
    <t>2006-07-16</t>
  </si>
  <si>
    <t>2006-07-04</t>
  </si>
  <si>
    <t>2006-07-02</t>
  </si>
  <si>
    <t>2006-06-29</t>
  </si>
  <si>
    <t>2006-06-26</t>
  </si>
  <si>
    <t>2006-06-21</t>
  </si>
  <si>
    <t>2006-05-11</t>
  </si>
  <si>
    <t>Metallurgical Industries Co</t>
  </si>
  <si>
    <t>Public Authority for Social Insurance</t>
  </si>
  <si>
    <t>International Commercial &amp; Industrial Investment Co. S.A.E</t>
  </si>
  <si>
    <t>National Investment Bank</t>
  </si>
  <si>
    <t>Tredco Engineering Industries</t>
  </si>
  <si>
    <t>Ali El-Sayad</t>
  </si>
  <si>
    <t>Others &amp; Free Float</t>
  </si>
  <si>
    <t>Total</t>
  </si>
  <si>
    <t>Multiple</t>
  </si>
  <si>
    <t>Value</t>
  </si>
  <si>
    <t>EV/Sales</t>
  </si>
  <si>
    <t>EV/EBITDA</t>
  </si>
  <si>
    <t>EV/EBIT</t>
  </si>
  <si>
    <t>52-Week High</t>
  </si>
  <si>
    <t xml:space="preserve">52-Week Low </t>
  </si>
  <si>
    <t>MCAP</t>
  </si>
  <si>
    <t>1-Yr Avg. Daily Value Traded</t>
  </si>
  <si>
    <t>LT Debt Runoff for Existing Debt</t>
  </si>
  <si>
    <t>SENIOR LONG TERM DEBT:</t>
  </si>
  <si>
    <t>SENIOR #1</t>
  </si>
  <si>
    <t xml:space="preserve">  CURRENT PORTION</t>
  </si>
  <si>
    <t xml:space="preserve">  PRINCIPAL</t>
  </si>
  <si>
    <t xml:space="preserve">  RATE</t>
  </si>
  <si>
    <t>SENIOR #2</t>
  </si>
  <si>
    <t>SENIOR #3</t>
  </si>
  <si>
    <t>SENIOR #4</t>
  </si>
  <si>
    <t>SENIOR #5</t>
  </si>
  <si>
    <t>SENIOR #6</t>
  </si>
  <si>
    <t>SUBORDINATED LONG TERM DEBT:</t>
  </si>
  <si>
    <t>SUBORDINATED #1</t>
  </si>
  <si>
    <t>SUBORDINATED #2</t>
  </si>
  <si>
    <t>SUBORDINATED #3</t>
  </si>
  <si>
    <t>TOTAL CP SENIOR</t>
  </si>
  <si>
    <t>TOTAL CP SUBORDINATED</t>
  </si>
  <si>
    <t>TOTAL LT SENIOR</t>
  </si>
  <si>
    <t>TOTAL LT SUBORDINATED</t>
  </si>
  <si>
    <t xml:space="preserve">  TOTAL LT DEBT</t>
  </si>
  <si>
    <t>INT ADJ FOR SEASONAL DEBT</t>
  </si>
  <si>
    <t>TOTAL INTEREST EXPENSE FROM LTD</t>
  </si>
  <si>
    <t xml:space="preserve">Date </t>
  </si>
  <si>
    <t>Capital Lease Runoff</t>
  </si>
  <si>
    <t>CAPITAL LEASE #1</t>
  </si>
  <si>
    <t>TOTAL PRINCIPAL (P.V.)--BEGIN</t>
  </si>
  <si>
    <t>LAST YEAR'S CP (PD THIS YR)</t>
  </si>
  <si>
    <t>INT EXPENSE</t>
  </si>
  <si>
    <t>EXEC COSTS</t>
  </si>
  <si>
    <t>MINIMUM LEASE PAYMENT</t>
  </si>
  <si>
    <t>TOTAL PRINCIPAL (P.V.)--END</t>
  </si>
  <si>
    <t>Imputed Interest Rate</t>
  </si>
  <si>
    <t>CAPITAL LEASE #2</t>
  </si>
  <si>
    <t>TOTAL CP CAPITAL LEASE</t>
  </si>
  <si>
    <t>TOTAL LT CAPITAL LEASE</t>
  </si>
  <si>
    <t xml:space="preserve">  REC TO WORKSHEET A</t>
  </si>
  <si>
    <t xml:space="preserve">Auto calculated Values </t>
  </si>
  <si>
    <t>Good will amortization</t>
  </si>
  <si>
    <t>Gross interest exp--exist</t>
  </si>
  <si>
    <t>Prepaid &amp; accruals</t>
  </si>
  <si>
    <t>Total financial charges (financing pmt+dividends)</t>
  </si>
  <si>
    <t>Dividends / Shares</t>
  </si>
  <si>
    <t>Summary of Existing LT Debt</t>
  </si>
  <si>
    <t>Interest Expense</t>
  </si>
  <si>
    <t>Deprecation</t>
  </si>
  <si>
    <t>EFIC</t>
  </si>
  <si>
    <t>Lt receivables</t>
  </si>
  <si>
    <t>Other Equity reserves</t>
  </si>
  <si>
    <t>EV</t>
  </si>
  <si>
    <t>Market Cap.</t>
  </si>
  <si>
    <t xml:space="preserve">P/E </t>
  </si>
  <si>
    <t xml:space="preserve">Equity </t>
  </si>
  <si>
    <t xml:space="preserve">Share Price </t>
  </si>
  <si>
    <t xml:space="preserve">Book Value/ Share </t>
  </si>
  <si>
    <t>No. of Shares</t>
  </si>
  <si>
    <t>Avg. Multible</t>
  </si>
  <si>
    <t xml:space="preserve">+ Cash and Cash Equivalent </t>
  </si>
  <si>
    <t xml:space="preserve">- Debt and Debt Like </t>
  </si>
  <si>
    <t xml:space="preserve">Equity Value </t>
  </si>
  <si>
    <t>Share Price</t>
  </si>
  <si>
    <t>Q3 2017</t>
  </si>
  <si>
    <t>Profitability Ratios:</t>
  </si>
  <si>
    <t>Liquidity Ratios:</t>
  </si>
  <si>
    <t>Cash ratio</t>
  </si>
  <si>
    <t>Cash and equivalents</t>
  </si>
  <si>
    <t>Management Efficiency Ratios:</t>
  </si>
  <si>
    <t>Inventory Turnover</t>
  </si>
  <si>
    <t>payables Turnover</t>
  </si>
  <si>
    <t>Receivables Turnover</t>
  </si>
  <si>
    <t>Cash Conversion Cycle</t>
  </si>
  <si>
    <t>Leverage Ratios:</t>
  </si>
  <si>
    <t>Valuation and Growth Ratios:</t>
  </si>
  <si>
    <t>No. of shares</t>
  </si>
  <si>
    <t xml:space="preserve">Average Market Price per Share </t>
  </si>
  <si>
    <t>Price-Earnings Ratio</t>
  </si>
  <si>
    <t xml:space="preserve">Dividend Pay-out Ratio </t>
  </si>
  <si>
    <t>Dividend Yield Ratio</t>
  </si>
  <si>
    <t>Book Value per Share</t>
  </si>
  <si>
    <t>2017-12-04</t>
  </si>
  <si>
    <t>2017-12-03</t>
  </si>
  <si>
    <t>2017-11-29</t>
  </si>
  <si>
    <t>2017-11-28</t>
  </si>
  <si>
    <t>2017-11-27</t>
  </si>
  <si>
    <t>2017-11-26</t>
  </si>
  <si>
    <t>2017-11-23</t>
  </si>
  <si>
    <t>2017-11-22</t>
  </si>
  <si>
    <t>2017-11-21</t>
  </si>
  <si>
    <t>2017-11-20</t>
  </si>
  <si>
    <t>2017-11-19</t>
  </si>
  <si>
    <t>2017-11-16</t>
  </si>
  <si>
    <t>2017-11-14</t>
  </si>
  <si>
    <t>2017-11-13</t>
  </si>
  <si>
    <t>2017-11-12</t>
  </si>
  <si>
    <t>2017-11-09</t>
  </si>
  <si>
    <t>2017-11-08</t>
  </si>
  <si>
    <t>2017-11-06</t>
  </si>
  <si>
    <t>2017-11-05</t>
  </si>
  <si>
    <t>2017-11-02</t>
  </si>
  <si>
    <t>2017-11-01</t>
  </si>
  <si>
    <t>2017-10-31</t>
  </si>
  <si>
    <t>2017-10-30</t>
  </si>
  <si>
    <t>2017-10-29</t>
  </si>
  <si>
    <t>2017-10-26</t>
  </si>
  <si>
    <t>2017-10-25</t>
  </si>
  <si>
    <t>2017-10-24</t>
  </si>
  <si>
    <t>2017-10-23</t>
  </si>
  <si>
    <t>2017-10-22</t>
  </si>
  <si>
    <t>2017-10-19</t>
  </si>
  <si>
    <t>2017-10-18</t>
  </si>
  <si>
    <t>2017-10-17</t>
  </si>
  <si>
    <t>2017-10-16</t>
  </si>
  <si>
    <t>2017-10-15</t>
  </si>
  <si>
    <t>2017-10-12</t>
  </si>
  <si>
    <t>2017-10-11</t>
  </si>
  <si>
    <t>2017-10-10</t>
  </si>
  <si>
    <t>2017-10-09</t>
  </si>
  <si>
    <t>2017-10-08</t>
  </si>
  <si>
    <t>2017-10-04</t>
  </si>
  <si>
    <t>2017-10-03</t>
  </si>
  <si>
    <t>2017-10-02</t>
  </si>
  <si>
    <t>2017-10-01</t>
  </si>
  <si>
    <t>2017-09-28</t>
  </si>
  <si>
    <t>2017-09-27</t>
  </si>
  <si>
    <t>2017-09-26</t>
  </si>
  <si>
    <t>2017-09-25</t>
  </si>
  <si>
    <t>2017-09-24</t>
  </si>
  <si>
    <t>2017-09-20</t>
  </si>
  <si>
    <t>2017-09-19</t>
  </si>
  <si>
    <t>2017-09-18</t>
  </si>
  <si>
    <t>2017-09-17</t>
  </si>
  <si>
    <t>2017-09-14</t>
  </si>
  <si>
    <t>2017-09-13</t>
  </si>
  <si>
    <t>2017-09-12</t>
  </si>
  <si>
    <t>2017-09-11</t>
  </si>
  <si>
    <t>2017-09-10</t>
  </si>
  <si>
    <t>2017-09-07</t>
  </si>
  <si>
    <t>2017-09-06</t>
  </si>
  <si>
    <t>2017-09-05</t>
  </si>
  <si>
    <t>2017-08-30</t>
  </si>
  <si>
    <t>2017-08-29</t>
  </si>
  <si>
    <t>2017-08-28</t>
  </si>
  <si>
    <t>2017-08-27</t>
  </si>
  <si>
    <t>2017-08-24</t>
  </si>
  <si>
    <t>2017-08-23</t>
  </si>
  <si>
    <t>2017-08-22</t>
  </si>
  <si>
    <t>2017-08-21</t>
  </si>
  <si>
    <t>2017-08-20</t>
  </si>
  <si>
    <t>2017-08-17</t>
  </si>
  <si>
    <t>2017-08-16</t>
  </si>
  <si>
    <t>2017-08-15</t>
  </si>
  <si>
    <t>2017-08-14</t>
  </si>
  <si>
    <t>2017-08-13</t>
  </si>
  <si>
    <t>2017-08-10</t>
  </si>
  <si>
    <t>2017-08-09</t>
  </si>
  <si>
    <t>2017-08-08</t>
  </si>
  <si>
    <t>2017-08-07</t>
  </si>
  <si>
    <t>2017-08-06</t>
  </si>
  <si>
    <t>2017-08-03</t>
  </si>
  <si>
    <t>2017-08-02</t>
  </si>
  <si>
    <t>2017-07-31</t>
  </si>
  <si>
    <t>2017-07-30</t>
  </si>
  <si>
    <t>2017-07-27</t>
  </si>
  <si>
    <t>2017-07-26</t>
  </si>
  <si>
    <t>2017-07-25</t>
  </si>
  <si>
    <t>2017-07-24</t>
  </si>
  <si>
    <t>2017-07-20</t>
  </si>
  <si>
    <t>2017-07-19</t>
  </si>
  <si>
    <t>2017-07-18</t>
  </si>
  <si>
    <t>2017-07-17</t>
  </si>
  <si>
    <t>2017-07-16</t>
  </si>
  <si>
    <t>2017-07-13</t>
  </si>
  <si>
    <t>2017-07-12</t>
  </si>
  <si>
    <t>2017-07-11</t>
  </si>
  <si>
    <t>2017-07-10</t>
  </si>
  <si>
    <t>2017-07-09</t>
  </si>
  <si>
    <t>2017-07-06</t>
  </si>
  <si>
    <t>2017-07-05</t>
  </si>
  <si>
    <t>2017-07-04</t>
  </si>
  <si>
    <t>2017-07-03</t>
  </si>
  <si>
    <t>2017-06-28</t>
  </si>
  <si>
    <t>2017-06-22</t>
  </si>
  <si>
    <t>2017-06-21</t>
  </si>
  <si>
    <t>2017-06-20</t>
  </si>
  <si>
    <t>2017-06-19</t>
  </si>
  <si>
    <t>2017-06-18</t>
  </si>
  <si>
    <t>2017-06-15</t>
  </si>
  <si>
    <t>2017-06-14</t>
  </si>
  <si>
    <t>2017-06-13</t>
  </si>
  <si>
    <t>2017-06-12</t>
  </si>
  <si>
    <t>2017-06-11</t>
  </si>
  <si>
    <t>2017-06-08</t>
  </si>
  <si>
    <t>2017-06-07</t>
  </si>
  <si>
    <t>2017-06-06</t>
  </si>
  <si>
    <t>2017-06-05</t>
  </si>
  <si>
    <t>2017-06-04</t>
  </si>
  <si>
    <t>2017-05-31</t>
  </si>
  <si>
    <t>2017-05-30</t>
  </si>
  <si>
    <t>2017-05-29</t>
  </si>
  <si>
    <t>2017-05-28</t>
  </si>
  <si>
    <t>2017-05-25</t>
  </si>
  <si>
    <t>2017-05-24</t>
  </si>
  <si>
    <t>2017-05-23</t>
  </si>
  <si>
    <t>2017-05-22</t>
  </si>
  <si>
    <t>2017-05-21</t>
  </si>
  <si>
    <t>2017-05-18</t>
  </si>
  <si>
    <t>2017-05-17</t>
  </si>
  <si>
    <t>2017-05-16</t>
  </si>
  <si>
    <t>2017-05-15</t>
  </si>
  <si>
    <t>2017-05-14</t>
  </si>
  <si>
    <t>2017-05-11</t>
  </si>
  <si>
    <t>2017-05-10</t>
  </si>
  <si>
    <t>2017-05-09</t>
  </si>
  <si>
    <t>2017-05-08</t>
  </si>
  <si>
    <t>2017-05-07</t>
  </si>
  <si>
    <t>2017-05-04</t>
  </si>
  <si>
    <t>2017-05-03</t>
  </si>
  <si>
    <t>2017-04-30</t>
  </si>
  <si>
    <t>2017-04-27</t>
  </si>
  <si>
    <t>2017-04-26</t>
  </si>
  <si>
    <t>2017-04-24</t>
  </si>
  <si>
    <t>2017-04-23</t>
  </si>
  <si>
    <t>2017-04-20</t>
  </si>
  <si>
    <t>2017-04-19</t>
  </si>
  <si>
    <t>2017-04-18</t>
  </si>
  <si>
    <t>2017-04-13</t>
  </si>
  <si>
    <t>2017-04-12</t>
  </si>
  <si>
    <t>2017-04-11</t>
  </si>
  <si>
    <t>2017-04-10</t>
  </si>
  <si>
    <t>2017-04-09</t>
  </si>
  <si>
    <t>2017-04-06</t>
  </si>
  <si>
    <t>2017-04-05</t>
  </si>
  <si>
    <t>2017-04-04</t>
  </si>
  <si>
    <t>2017-04-03</t>
  </si>
  <si>
    <t>2017-03-30</t>
  </si>
  <si>
    <t>2017-03-29</t>
  </si>
  <si>
    <t>2017-03-28</t>
  </si>
  <si>
    <t>2017-03-27</t>
  </si>
  <si>
    <t>2017-03-26</t>
  </si>
  <si>
    <t>2017-03-23</t>
  </si>
  <si>
    <t>2017-03-22</t>
  </si>
  <si>
    <t>2017-03-21</t>
  </si>
  <si>
    <t>2017-03-20</t>
  </si>
  <si>
    <t>2017-03-19</t>
  </si>
  <si>
    <t>2017-03-16</t>
  </si>
  <si>
    <t>2017-03-15</t>
  </si>
  <si>
    <t>2017-03-14</t>
  </si>
  <si>
    <t>2017-03-13</t>
  </si>
  <si>
    <t>2017-03-12</t>
  </si>
  <si>
    <t>2017-03-09</t>
  </si>
  <si>
    <t>2017-03-08</t>
  </si>
  <si>
    <t>2017-03-07</t>
  </si>
  <si>
    <t>2017-03-06</t>
  </si>
  <si>
    <t>2017-03-05</t>
  </si>
  <si>
    <t>2017-03-02</t>
  </si>
  <si>
    <t>2017-02-28</t>
  </si>
  <si>
    <t>2017-02-27</t>
  </si>
  <si>
    <t>2017-02-26</t>
  </si>
  <si>
    <t>2017-02-23</t>
  </si>
  <si>
    <t>2017-02-22</t>
  </si>
  <si>
    <t>2017-02-21</t>
  </si>
  <si>
    <t>2017-02-20</t>
  </si>
  <si>
    <t>2017-02-19</t>
  </si>
  <si>
    <t>2017-02-16</t>
  </si>
  <si>
    <t>2017-02-15</t>
  </si>
  <si>
    <t>2017-02-14</t>
  </si>
  <si>
    <t>2017-02-13</t>
  </si>
  <si>
    <t>2017-02-12</t>
  </si>
  <si>
    <t>2017-02-09</t>
  </si>
  <si>
    <t>2017-02-08</t>
  </si>
  <si>
    <t>2017-02-07</t>
  </si>
  <si>
    <t>2017-02-06</t>
  </si>
  <si>
    <t>2017-02-05</t>
  </si>
  <si>
    <t>2017-02-02</t>
  </si>
  <si>
    <t>2017-01-31</t>
  </si>
  <si>
    <t>2017-01-29</t>
  </si>
  <si>
    <t>2017-01-26</t>
  </si>
  <si>
    <t>2017-01-24</t>
  </si>
  <si>
    <t>2017-01-23</t>
  </si>
  <si>
    <t>2017-01-22</t>
  </si>
  <si>
    <t>2017-01-19</t>
  </si>
  <si>
    <t>2017-01-18</t>
  </si>
  <si>
    <t>2017-01-17</t>
  </si>
  <si>
    <t>2017-01-16</t>
  </si>
  <si>
    <t>2017-01-15</t>
  </si>
  <si>
    <t>2017-01-09</t>
  </si>
  <si>
    <t>2017-01-05</t>
  </si>
  <si>
    <t>2017-01-04</t>
  </si>
  <si>
    <t>2017-01-03</t>
  </si>
  <si>
    <t>2016-12-29</t>
  </si>
  <si>
    <t>2016-12-28</t>
  </si>
  <si>
    <t>2016-12-27</t>
  </si>
  <si>
    <t>2016-12-26</t>
  </si>
  <si>
    <t>2016-12-25</t>
  </si>
  <si>
    <t>2016-12-22</t>
  </si>
  <si>
    <t>2016-12-21</t>
  </si>
  <si>
    <t>2016-12-20</t>
  </si>
  <si>
    <t>2016-12-19</t>
  </si>
  <si>
    <t>2016-12-18</t>
  </si>
  <si>
    <t>2016-12-15</t>
  </si>
  <si>
    <t>2016-12-14</t>
  </si>
  <si>
    <t>2016-12-13</t>
  </si>
  <si>
    <t>2016-12-12</t>
  </si>
  <si>
    <t>2016-12-08</t>
  </si>
  <si>
    <t>2016-12-07</t>
  </si>
  <si>
    <t>2016-12-06</t>
  </si>
  <si>
    <t>2016-12-05</t>
  </si>
  <si>
    <t>2016-12-04</t>
  </si>
  <si>
    <t>2016-11-30</t>
  </si>
  <si>
    <t>2016-11-28</t>
  </si>
  <si>
    <t>2016-11-27</t>
  </si>
  <si>
    <t>2016-11-24</t>
  </si>
  <si>
    <t>2016-11-23</t>
  </si>
  <si>
    <t>2016-11-22</t>
  </si>
  <si>
    <t>2016-11-21</t>
  </si>
  <si>
    <t>2016-11-20</t>
  </si>
  <si>
    <t>2016-11-17</t>
  </si>
  <si>
    <t>2016-11-16</t>
  </si>
  <si>
    <t>2016-11-14</t>
  </si>
  <si>
    <t>2016-11-13</t>
  </si>
  <si>
    <t>2016-11-09</t>
  </si>
  <si>
    <t>2016-11-07</t>
  </si>
  <si>
    <t>2016-11-06</t>
  </si>
  <si>
    <t>2016-11-03</t>
  </si>
  <si>
    <t>2016-10-31</t>
  </si>
  <si>
    <t>2016-10-30</t>
  </si>
  <si>
    <t>2016-10-26</t>
  </si>
  <si>
    <t>2016-10-23</t>
  </si>
  <si>
    <t>2016-10-20</t>
  </si>
  <si>
    <t>2016-10-19</t>
  </si>
  <si>
    <t>2016-10-17</t>
  </si>
  <si>
    <t>2016-10-16</t>
  </si>
  <si>
    <t>2016-10-13</t>
  </si>
  <si>
    <t>2016-10-12</t>
  </si>
  <si>
    <t>2016-10-11</t>
  </si>
  <si>
    <t>2016-10-10</t>
  </si>
  <si>
    <t>2016-10-09</t>
  </si>
  <si>
    <t>2016-09-28</t>
  </si>
  <si>
    <t>2016-09-26</t>
  </si>
  <si>
    <t>2016-09-25</t>
  </si>
  <si>
    <t>2016-09-22</t>
  </si>
  <si>
    <t>2016-09-20</t>
  </si>
  <si>
    <t>2016-09-19</t>
  </si>
  <si>
    <t>2016-09-18</t>
  </si>
  <si>
    <t>2016-09-15</t>
  </si>
  <si>
    <t>2016-09-07</t>
  </si>
  <si>
    <t>2016-09-06</t>
  </si>
  <si>
    <t>2016-09-05</t>
  </si>
  <si>
    <t>2016-08-30</t>
  </si>
  <si>
    <t>2016-08-24</t>
  </si>
  <si>
    <t>2016-08-23</t>
  </si>
  <si>
    <t>2016-08-22</t>
  </si>
  <si>
    <t>2016-08-21</t>
  </si>
  <si>
    <t>2016-08-18</t>
  </si>
  <si>
    <t>2016-08-15</t>
  </si>
  <si>
    <t>2016-08-14</t>
  </si>
  <si>
    <t>2016-08-11</t>
  </si>
  <si>
    <t>2016-08-08</t>
  </si>
  <si>
    <t>2016-08-07</t>
  </si>
  <si>
    <t>2016-08-04</t>
  </si>
  <si>
    <t>2016-07-31</t>
  </si>
  <si>
    <t>2016-07-28</t>
  </si>
  <si>
    <t>2016-07-27</t>
  </si>
  <si>
    <t>2016-07-26</t>
  </si>
  <si>
    <t>2016-07-24</t>
  </si>
  <si>
    <t>2016-07-21</t>
  </si>
  <si>
    <t>2016-07-18</t>
  </si>
  <si>
    <t>2016-07-17</t>
  </si>
  <si>
    <t>2016-07-14</t>
  </si>
  <si>
    <t>2016-07-13</t>
  </si>
  <si>
    <t>2016-07-12</t>
  </si>
  <si>
    <t>2016-07-11</t>
  </si>
  <si>
    <t>2016-06-29</t>
  </si>
  <si>
    <t>2016-06-28</t>
  </si>
  <si>
    <t>2016-06-27</t>
  </si>
  <si>
    <t>2016-06-23</t>
  </si>
  <si>
    <t>2016-06-21</t>
  </si>
  <si>
    <t>2016-06-20</t>
  </si>
  <si>
    <t>2016-06-19</t>
  </si>
  <si>
    <t>2016-06-16</t>
  </si>
  <si>
    <t>2016-06-15</t>
  </si>
  <si>
    <t>2016-06-14</t>
  </si>
  <si>
    <t>2016-06-13</t>
  </si>
  <si>
    <t>2016-06-12</t>
  </si>
  <si>
    <t>2016-06-09</t>
  </si>
  <si>
    <t>2016-06-08</t>
  </si>
  <si>
    <t>2016-06-07</t>
  </si>
  <si>
    <t>2016-06-06</t>
  </si>
  <si>
    <t>2016-06-05</t>
  </si>
  <si>
    <t>2016-06-02</t>
  </si>
  <si>
    <t>2016-05-31</t>
  </si>
  <si>
    <t>2016-05-30</t>
  </si>
  <si>
    <t>2016-05-29</t>
  </si>
  <si>
    <t>2016-05-25</t>
  </si>
  <si>
    <t>2016-05-24</t>
  </si>
  <si>
    <t>2016-05-23</t>
  </si>
  <si>
    <t>2016-05-22</t>
  </si>
  <si>
    <t>2016-05-19</t>
  </si>
  <si>
    <t>2016-05-18</t>
  </si>
  <si>
    <t>2016-05-17</t>
  </si>
  <si>
    <t>2016-05-16</t>
  </si>
  <si>
    <t>2016-05-15</t>
  </si>
  <si>
    <t>2016-05-12</t>
  </si>
  <si>
    <t>2016-05-11</t>
  </si>
  <si>
    <t>2016-05-10</t>
  </si>
  <si>
    <t>2016-05-09</t>
  </si>
  <si>
    <t>2016-05-08</t>
  </si>
  <si>
    <t>2016-05-05</t>
  </si>
  <si>
    <t>2016-05-04</t>
  </si>
  <si>
    <t>2016-04-28</t>
  </si>
  <si>
    <t>2016-04-27</t>
  </si>
  <si>
    <t>2016-04-26</t>
  </si>
  <si>
    <t>2016-04-24</t>
  </si>
  <si>
    <t>2016-04-21</t>
  </si>
  <si>
    <t>2016-04-20</t>
  </si>
  <si>
    <t>2016-04-19</t>
  </si>
  <si>
    <t>2016-04-18</t>
  </si>
  <si>
    <t>2016-04-17</t>
  </si>
  <si>
    <t>2016-04-14</t>
  </si>
  <si>
    <t>2016-04-13</t>
  </si>
  <si>
    <t>2016-04-12</t>
  </si>
  <si>
    <t>2016-04-11</t>
  </si>
  <si>
    <t>2016-04-10</t>
  </si>
  <si>
    <t>2016-04-07</t>
  </si>
  <si>
    <t>2016-04-06</t>
  </si>
  <si>
    <t>2016-04-05</t>
  </si>
  <si>
    <t>2016-04-04</t>
  </si>
  <si>
    <t>2016-03-31</t>
  </si>
  <si>
    <t>2016-03-30</t>
  </si>
  <si>
    <t>2016-03-29</t>
  </si>
  <si>
    <t>2016-03-28</t>
  </si>
  <si>
    <t>2016-03-27</t>
  </si>
  <si>
    <t>2016-03-24</t>
  </si>
  <si>
    <t>2016-03-22</t>
  </si>
  <si>
    <t>2016-03-21</t>
  </si>
  <si>
    <t>2016-03-20</t>
  </si>
  <si>
    <t>2016-03-17</t>
  </si>
  <si>
    <t>2016-03-16</t>
  </si>
  <si>
    <t>2016-03-14</t>
  </si>
  <si>
    <t>2016-03-13</t>
  </si>
  <si>
    <t>2016-03-10</t>
  </si>
  <si>
    <t>2016-03-09</t>
  </si>
  <si>
    <t>2016-03-08</t>
  </si>
  <si>
    <t>2016-03-07</t>
  </si>
  <si>
    <t>2016-03-06</t>
  </si>
  <si>
    <t>2016-03-03</t>
  </si>
  <si>
    <t>2016-02-29</t>
  </si>
  <si>
    <t>2016-02-28</t>
  </si>
  <si>
    <t>2016-02-24</t>
  </si>
  <si>
    <t>2016-02-23</t>
  </si>
  <si>
    <t>2016-02-22</t>
  </si>
  <si>
    <t>2016-02-21</t>
  </si>
  <si>
    <t>2016-02-17</t>
  </si>
  <si>
    <t>2016-02-16</t>
  </si>
  <si>
    <t>2016-02-15</t>
  </si>
  <si>
    <t>2016-02-11</t>
  </si>
  <si>
    <t>2016-02-09</t>
  </si>
  <si>
    <t>2016-02-04</t>
  </si>
  <si>
    <t>2016-01-28</t>
  </si>
  <si>
    <t>2016-01-27</t>
  </si>
  <si>
    <t>2016-01-26</t>
  </si>
  <si>
    <t>2016-01-20</t>
  </si>
  <si>
    <t>2016-01-19</t>
  </si>
  <si>
    <t>2016-01-18</t>
  </si>
  <si>
    <t>2016-01-17</t>
  </si>
  <si>
    <t>2016-01-14</t>
  </si>
  <si>
    <t>2016-01-12</t>
  </si>
  <si>
    <t>2016-01-11</t>
  </si>
  <si>
    <t>2016-01-10</t>
  </si>
  <si>
    <t>2016-01-05</t>
  </si>
  <si>
    <t>2016-01-04</t>
  </si>
  <si>
    <t>2015-12-31</t>
  </si>
  <si>
    <t>2015-12-30</t>
  </si>
  <si>
    <t>2015-12-29</t>
  </si>
  <si>
    <t>2015-12-28</t>
  </si>
  <si>
    <t>2015-12-27</t>
  </si>
  <si>
    <t>2015-12-24</t>
  </si>
  <si>
    <t>2015-12-22</t>
  </si>
  <si>
    <t>2015-12-21</t>
  </si>
  <si>
    <t>2015-12-17</t>
  </si>
  <si>
    <t>2015-12-14</t>
  </si>
  <si>
    <t>2015-12-13</t>
  </si>
  <si>
    <t>2015-12-10</t>
  </si>
  <si>
    <t>2015-12-08</t>
  </si>
  <si>
    <t>2015-12-07</t>
  </si>
  <si>
    <t>2015-12-03</t>
  </si>
  <si>
    <t>2015-11-30</t>
  </si>
  <si>
    <t>2015-11-29</t>
  </si>
  <si>
    <t>2015-11-26</t>
  </si>
  <si>
    <t>2015-11-25</t>
  </si>
  <si>
    <t>2015-11-24</t>
  </si>
  <si>
    <t>2015-11-23</t>
  </si>
  <si>
    <t>2015-11-22</t>
  </si>
  <si>
    <t>2015-11-19</t>
  </si>
  <si>
    <t>2015-11-18</t>
  </si>
  <si>
    <t>2015-11-15</t>
  </si>
  <si>
    <t>2015-11-12</t>
  </si>
  <si>
    <t>2015-11-11</t>
  </si>
  <si>
    <t>2015-11-10</t>
  </si>
  <si>
    <t>2015-11-09</t>
  </si>
  <si>
    <t>2015-11-08</t>
  </si>
  <si>
    <t>2015-11-05</t>
  </si>
  <si>
    <t>2015-11-04</t>
  </si>
  <si>
    <t>2015-11-02</t>
  </si>
  <si>
    <t>2015-10-29</t>
  </si>
  <si>
    <t>2015-10-28</t>
  </si>
  <si>
    <t>2015-10-27</t>
  </si>
  <si>
    <t>2015-10-26</t>
  </si>
  <si>
    <t>2015-10-25</t>
  </si>
  <si>
    <t>2015-10-21</t>
  </si>
  <si>
    <t>2015-10-20</t>
  </si>
  <si>
    <t>2015-10-18</t>
  </si>
  <si>
    <t>2015-10-13</t>
  </si>
  <si>
    <t>2015-10-12</t>
  </si>
  <si>
    <t>2015-10-11</t>
  </si>
  <si>
    <t>2015-09-30</t>
  </si>
  <si>
    <t>2015-09-29</t>
  </si>
  <si>
    <t>2015-09-22</t>
  </si>
  <si>
    <t>2015-09-21</t>
  </si>
  <si>
    <t>2015-09-20</t>
  </si>
  <si>
    <t>2015-09-17</t>
  </si>
  <si>
    <t>2015-09-16</t>
  </si>
  <si>
    <t>2015-09-14</t>
  </si>
  <si>
    <t>2015-09-07</t>
  </si>
  <si>
    <t>2015-08-31</t>
  </si>
  <si>
    <t>2015-08-30</t>
  </si>
  <si>
    <t>2015-08-27</t>
  </si>
  <si>
    <t>2015-08-24</t>
  </si>
  <si>
    <t>2015-08-23</t>
  </si>
  <si>
    <t>2015-08-20</t>
  </si>
  <si>
    <t>2015-08-19</t>
  </si>
  <si>
    <t>2015-08-16</t>
  </si>
  <si>
    <t>2015-08-12</t>
  </si>
  <si>
    <t>2015-08-10</t>
  </si>
  <si>
    <t>2015-08-09</t>
  </si>
  <si>
    <t>2015-07-29</t>
  </si>
  <si>
    <t>2015-07-15</t>
  </si>
  <si>
    <t>2015-07-14</t>
  </si>
  <si>
    <t>2015-07-13</t>
  </si>
  <si>
    <t>2015-07-09</t>
  </si>
  <si>
    <t>2015-07-08</t>
  </si>
  <si>
    <t>2015-06-29</t>
  </si>
  <si>
    <t>2015-06-24</t>
  </si>
  <si>
    <t>2015-06-23</t>
  </si>
  <si>
    <t>2015-06-22</t>
  </si>
  <si>
    <t>2015-06-21</t>
  </si>
  <si>
    <t>2015-06-16</t>
  </si>
  <si>
    <t>2015-06-14</t>
  </si>
  <si>
    <t>2015-06-10</t>
  </si>
  <si>
    <t>2015-06-09</t>
  </si>
  <si>
    <t>2015-06-08</t>
  </si>
  <si>
    <t>2015-06-07</t>
  </si>
  <si>
    <t>2015-06-04</t>
  </si>
  <si>
    <t>2015-06-03</t>
  </si>
  <si>
    <t>2015-06-02</t>
  </si>
  <si>
    <t>2015-05-28</t>
  </si>
  <si>
    <t>2015-05-27</t>
  </si>
  <si>
    <t>2015-05-26</t>
  </si>
  <si>
    <t>2015-05-25</t>
  </si>
  <si>
    <t>2015-05-24</t>
  </si>
  <si>
    <t>2015-05-21</t>
  </si>
  <si>
    <t>2015-05-20</t>
  </si>
  <si>
    <t>2015-05-19</t>
  </si>
  <si>
    <t>2015-05-18</t>
  </si>
  <si>
    <t>2015-05-17</t>
  </si>
  <si>
    <t>2015-05-14</t>
  </si>
  <si>
    <t>2015-05-13</t>
  </si>
  <si>
    <t>2015-05-12</t>
  </si>
  <si>
    <t>2015-05-11</t>
  </si>
  <si>
    <t>2015-05-10</t>
  </si>
  <si>
    <t>2015-05-07</t>
  </si>
  <si>
    <t>2015-04-30</t>
  </si>
  <si>
    <t>2015-04-29</t>
  </si>
  <si>
    <t>2015-04-26</t>
  </si>
  <si>
    <t>2015-04-23</t>
  </si>
  <si>
    <t>2015-04-22</t>
  </si>
  <si>
    <t>2015-04-20</t>
  </si>
  <si>
    <t>2015-04-16</t>
  </si>
  <si>
    <t>2015-04-15</t>
  </si>
  <si>
    <t>2015-04-14</t>
  </si>
  <si>
    <t>2015-04-09</t>
  </si>
  <si>
    <t>2015-04-08</t>
  </si>
  <si>
    <t>2015-04-07</t>
  </si>
  <si>
    <t>2015-04-06</t>
  </si>
  <si>
    <t>2015-04-05</t>
  </si>
  <si>
    <t>2015-04-02</t>
  </si>
  <si>
    <t>2015-03-31</t>
  </si>
  <si>
    <t>2015-03-30</t>
  </si>
  <si>
    <t>2015-03-29</t>
  </si>
  <si>
    <t>2015-03-25</t>
  </si>
  <si>
    <t>2015-03-24</t>
  </si>
  <si>
    <t>2015-03-22</t>
  </si>
  <si>
    <t>2015-03-19</t>
  </si>
  <si>
    <t>2015-03-17</t>
  </si>
  <si>
    <t>2015-03-15</t>
  </si>
  <si>
    <t>2015-03-12</t>
  </si>
  <si>
    <t>2015-03-11</t>
  </si>
  <si>
    <t>2015-03-10</t>
  </si>
  <si>
    <t>2015-03-08</t>
  </si>
  <si>
    <t>2015-03-05</t>
  </si>
  <si>
    <t>2015-03-02</t>
  </si>
  <si>
    <t>2015-02-26</t>
  </si>
  <si>
    <t>2015-02-23</t>
  </si>
  <si>
    <t>2015-02-18</t>
  </si>
  <si>
    <t>2015-02-17</t>
  </si>
  <si>
    <t>2015-02-16</t>
  </si>
  <si>
    <t>2015-02-12</t>
  </si>
  <si>
    <t>2015-02-11</t>
  </si>
  <si>
    <t>2015-02-10</t>
  </si>
  <si>
    <t>2015-02-04</t>
  </si>
  <si>
    <t>2015-02-02</t>
  </si>
  <si>
    <t>2015-01-28</t>
  </si>
  <si>
    <t>2015-01-27</t>
  </si>
  <si>
    <t>2015-01-22</t>
  </si>
  <si>
    <t>2015-01-21</t>
  </si>
  <si>
    <t>2015-01-20</t>
  </si>
  <si>
    <t>2015-01-19</t>
  </si>
  <si>
    <t>2015-01-15</t>
  </si>
  <si>
    <t>2015-01-14</t>
  </si>
  <si>
    <t>2014-12-29</t>
  </si>
  <si>
    <t>2014-12-25</t>
  </si>
  <si>
    <t>2014-12-24</t>
  </si>
  <si>
    <t>2014-12-23</t>
  </si>
  <si>
    <t>2014-12-21</t>
  </si>
  <si>
    <t>2014-12-18</t>
  </si>
  <si>
    <t>2014-12-17</t>
  </si>
  <si>
    <t>2014-12-16</t>
  </si>
  <si>
    <t>2014-12-15</t>
  </si>
  <si>
    <t>2014-12-14</t>
  </si>
  <si>
    <t>2014-12-10</t>
  </si>
  <si>
    <t>2014-12-08</t>
  </si>
  <si>
    <t>2014-12-04</t>
  </si>
  <si>
    <t>2014-12-03</t>
  </si>
  <si>
    <t>2014-11-26</t>
  </si>
  <si>
    <t>2014-11-25</t>
  </si>
  <si>
    <t>2014-11-24</t>
  </si>
  <si>
    <t>2014-11-20</t>
  </si>
  <si>
    <t>2014-11-19</t>
  </si>
  <si>
    <t>2014-11-18</t>
  </si>
  <si>
    <t>2014-11-17</t>
  </si>
  <si>
    <t>2014-11-13</t>
  </si>
  <si>
    <t>2014-11-12</t>
  </si>
  <si>
    <t>2014-11-11</t>
  </si>
  <si>
    <t>2014-11-09</t>
  </si>
  <si>
    <t>2014-11-06</t>
  </si>
  <si>
    <t>2014-11-05</t>
  </si>
  <si>
    <t>2014-11-04</t>
  </si>
  <si>
    <t>2014-11-03</t>
  </si>
  <si>
    <t>2014-10-30</t>
  </si>
  <si>
    <t>2014-10-28</t>
  </si>
  <si>
    <t>2014-10-27</t>
  </si>
  <si>
    <t>2014-10-26</t>
  </si>
  <si>
    <t>2014-10-23</t>
  </si>
  <si>
    <t>2014-10-21</t>
  </si>
  <si>
    <t>2014-10-19</t>
  </si>
  <si>
    <t>2014-10-16</t>
  </si>
  <si>
    <t>2014-10-15</t>
  </si>
  <si>
    <t>2014-10-14</t>
  </si>
  <si>
    <t>2014-10-13</t>
  </si>
  <si>
    <t>2014-10-12</t>
  </si>
  <si>
    <t>2014-10-09</t>
  </si>
  <si>
    <t>2014-10-08</t>
  </si>
  <si>
    <t>2014-10-02</t>
  </si>
  <si>
    <t>2014-09-30</t>
  </si>
  <si>
    <t>2014-09-29</t>
  </si>
  <si>
    <t>2014-09-28</t>
  </si>
  <si>
    <t>2014-09-25</t>
  </si>
  <si>
    <t>2014-09-24</t>
  </si>
  <si>
    <t>2014-09-22</t>
  </si>
  <si>
    <t>2014-09-21</t>
  </si>
  <si>
    <t>2014-09-17</t>
  </si>
  <si>
    <t>2014-09-16</t>
  </si>
  <si>
    <t>2014-09-15</t>
  </si>
  <si>
    <t>2014-09-14</t>
  </si>
  <si>
    <t>2014-09-11</t>
  </si>
  <si>
    <t>2014-09-10</t>
  </si>
  <si>
    <t>2014-09-09</t>
  </si>
  <si>
    <t>2014-09-08</t>
  </si>
  <si>
    <t>2014-09-04</t>
  </si>
  <si>
    <t>2014-09-03</t>
  </si>
  <si>
    <t>2014-08-31</t>
  </si>
  <si>
    <t>2014-08-28</t>
  </si>
  <si>
    <t>2014-08-27</t>
  </si>
  <si>
    <t>2014-08-26</t>
  </si>
  <si>
    <t>2014-08-25</t>
  </si>
  <si>
    <t>2014-08-24</t>
  </si>
  <si>
    <t>2014-08-21</t>
  </si>
  <si>
    <t>2014-08-20</t>
  </si>
  <si>
    <t>2014-08-19</t>
  </si>
  <si>
    <t>2014-08-18</t>
  </si>
  <si>
    <t>2014-08-17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</si>
  <si>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</si>
  <si>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</si>
  <si>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</si>
  <si>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</si>
  <si>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</si>
  <si>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</si>
  <si>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</si>
  <si>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</si>
  <si>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</si>
  <si>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2014-07-31</t>
  </si>
  <si>
    <t>2014-07-24</t>
  </si>
  <si>
    <t>2014-07-22</t>
  </si>
  <si>
    <t>2014-07-21</t>
  </si>
  <si>
    <t>2014-07-16</t>
  </si>
  <si>
    <t>2014-07-15</t>
  </si>
  <si>
    <t>2014-07-13</t>
  </si>
  <si>
    <t>2014-07-10</t>
  </si>
  <si>
    <t>2014-07-09</t>
  </si>
  <si>
    <t>2014-07-08</t>
  </si>
  <si>
    <t>2014-07-07</t>
  </si>
  <si>
    <t>2014-07-06</t>
  </si>
  <si>
    <t>2014-07-03</t>
  </si>
  <si>
    <t>2014-06-30</t>
  </si>
  <si>
    <t>2014-06-26</t>
  </si>
  <si>
    <t>2014-06-25</t>
  </si>
  <si>
    <t>2014-06-24</t>
  </si>
  <si>
    <t>2014-06-23</t>
  </si>
  <si>
    <t>2014-06-22</t>
  </si>
  <si>
    <t>2014-06-19</t>
  </si>
  <si>
    <t>2014-06-17</t>
  </si>
  <si>
    <t>2014-06-16</t>
  </si>
  <si>
    <t>2014-06-15</t>
  </si>
  <si>
    <t>2014-06-12</t>
  </si>
  <si>
    <t>2014-06-11</t>
  </si>
  <si>
    <t>2014-06-10</t>
  </si>
  <si>
    <t>2014-06-09</t>
  </si>
  <si>
    <t>2014-06-05</t>
  </si>
  <si>
    <t>2014-06-04</t>
  </si>
  <si>
    <t>2014-06-03</t>
  </si>
  <si>
    <t>2014-06-02</t>
  </si>
  <si>
    <t>2014-05-29</t>
  </si>
  <si>
    <t>2014-05-28</t>
  </si>
  <si>
    <t>2014-05-26</t>
  </si>
  <si>
    <t>2014-05-25</t>
  </si>
  <si>
    <t>2014-05-22</t>
  </si>
  <si>
    <t>2014-05-21</t>
  </si>
  <si>
    <t>2014-05-20</t>
  </si>
  <si>
    <t>2014-05-19</t>
  </si>
  <si>
    <t>2014-05-18</t>
  </si>
  <si>
    <t>2014-05-15</t>
  </si>
  <si>
    <t>2014-05-14</t>
  </si>
  <si>
    <t>2014-05-12</t>
  </si>
  <si>
    <t>2014-05-11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</si>
  <si>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</si>
  <si>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</si>
  <si>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</si>
  <si>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</si>
  <si>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</si>
  <si>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</si>
  <si>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</si>
  <si>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2014-04-27</t>
  </si>
  <si>
    <t>2014-04-23</t>
  </si>
  <si>
    <t>2014-04-22</t>
  </si>
  <si>
    <t>2014-04-17</t>
  </si>
  <si>
    <t>2014-04-16</t>
  </si>
  <si>
    <t>2014-04-15</t>
  </si>
  <si>
    <t>2014-04-14</t>
  </si>
  <si>
    <t>2014-04-13</t>
  </si>
  <si>
    <t>2014-04-10</t>
  </si>
  <si>
    <t>2014-04-09</t>
  </si>
  <si>
    <t>2014-04-08</t>
  </si>
  <si>
    <t>2014-04-07</t>
  </si>
  <si>
    <t>2014-04-06</t>
  </si>
  <si>
    <t>2014-04-03</t>
  </si>
  <si>
    <t>2014-04-02</t>
  </si>
  <si>
    <t>2014-03-31</t>
  </si>
  <si>
    <t>2014-03-27</t>
  </si>
  <si>
    <t>2014-03-26</t>
  </si>
  <si>
    <t>2014-03-25</t>
  </si>
  <si>
    <t>2014-03-23</t>
  </si>
  <si>
    <t>2014-03-20</t>
  </si>
  <si>
    <t>2014-03-19</t>
  </si>
  <si>
    <t>2014-03-18</t>
  </si>
  <si>
    <t>2014-03-16</t>
  </si>
  <si>
    <t>2014-03-13</t>
  </si>
  <si>
    <t>2014-03-12</t>
  </si>
  <si>
    <t>2014-03-11</t>
  </si>
  <si>
    <t>2014-03-10</t>
  </si>
  <si>
    <t>2014-03-09</t>
  </si>
  <si>
    <t>2014-03-06</t>
  </si>
  <si>
    <t>2014-03-05</t>
  </si>
  <si>
    <t>2014-03-03</t>
  </si>
  <si>
    <t>2014-02-27</t>
  </si>
  <si>
    <t>2014-02-26</t>
  </si>
  <si>
    <t>2014-02-25</t>
  </si>
  <si>
    <t>2014-02-24</t>
  </si>
  <si>
    <t>2014-02-23</t>
  </si>
  <si>
    <t>2014-02-20</t>
  </si>
  <si>
    <t>2014-02-19</t>
  </si>
  <si>
    <t>2014-02-18</t>
  </si>
  <si>
    <t>2014-02-17</t>
  </si>
  <si>
    <t>2014-02-16</t>
  </si>
  <si>
    <t>2014-02-13</t>
  </si>
  <si>
    <t>2014-02-12</t>
  </si>
  <si>
    <t>2014-02-11</t>
  </si>
  <si>
    <t>2014-02-10</t>
  </si>
  <si>
    <t>2014-02-09</t>
  </si>
  <si>
    <t>2014-02-06</t>
  </si>
  <si>
    <t>2014-02-05</t>
  </si>
  <si>
    <t>2014-02-04</t>
  </si>
  <si>
    <t>2014-02-03</t>
  </si>
  <si>
    <t>2014-01-29</t>
  </si>
  <si>
    <t>2014-01-28</t>
  </si>
  <si>
    <t>2014-01-27</t>
  </si>
  <si>
    <t>2014-01-26</t>
  </si>
  <si>
    <t>2014-01-23</t>
  </si>
  <si>
    <t>2014-01-22</t>
  </si>
  <si>
    <t>2014-01-20</t>
  </si>
  <si>
    <t>2014-01-19</t>
  </si>
  <si>
    <t>2014-01-16</t>
  </si>
  <si>
    <t>2014-01-15</t>
  </si>
  <si>
    <t>2014-01-14</t>
  </si>
  <si>
    <t>2014-01-12</t>
  </si>
  <si>
    <t>2014-01-09</t>
  </si>
  <si>
    <t>2014-01-08</t>
  </si>
  <si>
    <t>2014-01-06</t>
  </si>
  <si>
    <t>2014-01-05</t>
  </si>
  <si>
    <t>2013-12-31</t>
  </si>
  <si>
    <t>2013-12-30</t>
  </si>
  <si>
    <t>2013-12-29</t>
  </si>
  <si>
    <t>2013-12-26</t>
  </si>
  <si>
    <t>2013-12-25</t>
  </si>
  <si>
    <t>2013-12-24</t>
  </si>
  <si>
    <t>2013-12-23</t>
  </si>
  <si>
    <t>2013-12-22</t>
  </si>
  <si>
    <t>2013-12-19</t>
  </si>
  <si>
    <t>2013-12-18</t>
  </si>
  <si>
    <t>2013-12-17</t>
  </si>
  <si>
    <t>2013-12-16</t>
  </si>
  <si>
    <t>2013-12-15</t>
  </si>
  <si>
    <t>2013-12-12</t>
  </si>
  <si>
    <t>2013-12-11</t>
  </si>
  <si>
    <t>2013-12-10</t>
  </si>
  <si>
    <t>2013-12-09</t>
  </si>
  <si>
    <t>2013-12-08</t>
  </si>
  <si>
    <t>2013-12-05</t>
  </si>
  <si>
    <t>2013-12-04</t>
  </si>
  <si>
    <t>2013-12-03</t>
  </si>
  <si>
    <t>2013-11-28</t>
  </si>
  <si>
    <t>2013-11-27</t>
  </si>
  <si>
    <t>2013-11-26</t>
  </si>
  <si>
    <t>2013-11-25</t>
  </si>
  <si>
    <t>2013-11-24</t>
  </si>
  <si>
    <t>2013-11-21</t>
  </si>
  <si>
    <t>2013-11-20</t>
  </si>
  <si>
    <t>2013-11-19</t>
  </si>
  <si>
    <t>2013-11-18</t>
  </si>
  <si>
    <t>2013-11-14</t>
  </si>
  <si>
    <t>2013-11-13</t>
  </si>
  <si>
    <t>2013-11-12</t>
  </si>
  <si>
    <t>2013-11-11</t>
  </si>
  <si>
    <t>2013-11-10</t>
  </si>
  <si>
    <t>2013-11-07</t>
  </si>
  <si>
    <t>2013-11-06</t>
  </si>
  <si>
    <t>2013-11-04</t>
  </si>
  <si>
    <t>2013-10-31</t>
  </si>
  <si>
    <t>2013-10-30</t>
  </si>
  <si>
    <t>2013-10-29</t>
  </si>
  <si>
    <t>2013-10-28</t>
  </si>
  <si>
    <t>2013-10-27</t>
  </si>
  <si>
    <t>2013-10-24</t>
  </si>
  <si>
    <t>2013-10-23</t>
  </si>
  <si>
    <t>2013-10-22</t>
  </si>
  <si>
    <t>2013-10-21</t>
  </si>
  <si>
    <t>2013-10-20</t>
  </si>
  <si>
    <t>2013-10-13</t>
  </si>
  <si>
    <t>2013-10-10</t>
  </si>
  <si>
    <t>2013-10-09</t>
  </si>
  <si>
    <t>2013-10-08</t>
  </si>
  <si>
    <t>2013-10-07</t>
  </si>
  <si>
    <t>2013-10-03</t>
  </si>
  <si>
    <t>2013-10-02</t>
  </si>
  <si>
    <t>2013-09-30</t>
  </si>
  <si>
    <t>2013-09-29</t>
  </si>
  <si>
    <t>2013-09-26</t>
  </si>
  <si>
    <t>2013-09-25</t>
  </si>
  <si>
    <t>2013-09-23</t>
  </si>
  <si>
    <t>2013-09-22</t>
  </si>
  <si>
    <t>2013-09-18</t>
  </si>
  <si>
    <t>2013-09-16</t>
  </si>
  <si>
    <t>2013-09-15</t>
  </si>
  <si>
    <t>2013-09-12</t>
  </si>
  <si>
    <t>2013-09-10</t>
  </si>
  <si>
    <t>2013-09-09</t>
  </si>
  <si>
    <t>2013-09-08</t>
  </si>
  <si>
    <t>2013-08-29</t>
  </si>
  <si>
    <t>2013-08-28</t>
  </si>
  <si>
    <t>2013-08-27</t>
  </si>
  <si>
    <t>2013-08-26</t>
  </si>
  <si>
    <t>2013-08-25</t>
  </si>
  <si>
    <t>2013-08-22</t>
  </si>
  <si>
    <t>2013-08-21</t>
  </si>
  <si>
    <t>2013-08-20</t>
  </si>
  <si>
    <t>2013-08-19</t>
  </si>
  <si>
    <t>2013-08-18</t>
  </si>
  <si>
    <t>2013-08-14</t>
  </si>
  <si>
    <t>2013-08-13</t>
  </si>
  <si>
    <t>2013-08-12</t>
  </si>
  <si>
    <t>2013-08-07</t>
  </si>
  <si>
    <t>2013-08-06</t>
  </si>
  <si>
    <t>2013-08-05</t>
  </si>
  <si>
    <t>2013-08-04</t>
  </si>
  <si>
    <t>2013-07-31</t>
  </si>
  <si>
    <t>2013-07-29</t>
  </si>
  <si>
    <t>2013-07-28</t>
  </si>
  <si>
    <t>2013-07-25</t>
  </si>
  <si>
    <t>2013-07-24</t>
  </si>
  <si>
    <t>2013-07-22</t>
  </si>
  <si>
    <t>2013-07-21</t>
  </si>
  <si>
    <t>2013-07-18</t>
  </si>
  <si>
    <t>2013-07-17</t>
  </si>
  <si>
    <t>2013-07-16</t>
  </si>
  <si>
    <t>2013-07-14</t>
  </si>
  <si>
    <t>2013-07-11</t>
  </si>
  <si>
    <t>2013-07-10</t>
  </si>
  <si>
    <t>2013-07-09</t>
  </si>
  <si>
    <t>2013-07-08</t>
  </si>
  <si>
    <t>2013-07-07</t>
  </si>
  <si>
    <t>2013-07-04</t>
  </si>
  <si>
    <t>2013-07-03</t>
  </si>
  <si>
    <t>2013-06-30</t>
  </si>
  <si>
    <t>2013-06-27</t>
  </si>
  <si>
    <t>2013-06-26</t>
  </si>
  <si>
    <t>2013-06-25</t>
  </si>
  <si>
    <t>2013-06-24</t>
  </si>
  <si>
    <t>2013-06-23</t>
  </si>
  <si>
    <t>2013-06-20</t>
  </si>
  <si>
    <t>2013-06-19</t>
  </si>
  <si>
    <t>2013-06-18</t>
  </si>
  <si>
    <t>2013-06-17</t>
  </si>
  <si>
    <t>2013-06-16</t>
  </si>
  <si>
    <t>2013-06-13</t>
  </si>
  <si>
    <t>2013-06-12</t>
  </si>
  <si>
    <t>2013-06-10</t>
  </si>
  <si>
    <t>2013-06-09</t>
  </si>
  <si>
    <t>2013-06-06</t>
  </si>
  <si>
    <t>2013-06-05</t>
  </si>
  <si>
    <t>2013-06-04</t>
  </si>
  <si>
    <t>2013-06-03</t>
  </si>
  <si>
    <t>2013-05-30</t>
  </si>
  <si>
    <t>2013-05-29</t>
  </si>
  <si>
    <t>2013-05-28</t>
  </si>
  <si>
    <t>2013-05-27</t>
  </si>
  <si>
    <t>2013-05-26</t>
  </si>
  <si>
    <t>2013-05-23</t>
  </si>
  <si>
    <t>2013-05-22</t>
  </si>
  <si>
    <t>2013-05-21</t>
  </si>
  <si>
    <t>2013-05-20</t>
  </si>
  <si>
    <t>2013-05-19</t>
  </si>
  <si>
    <t>2013-05-16</t>
  </si>
  <si>
    <t>2013-05-15</t>
  </si>
  <si>
    <t>2013-05-14</t>
  </si>
  <si>
    <t>2013-05-13</t>
  </si>
  <si>
    <t>2013-05-12</t>
  </si>
  <si>
    <t>2013-05-09</t>
  </si>
  <si>
    <t>2013-05-08</t>
  </si>
  <si>
    <t>2013-05-07</t>
  </si>
  <si>
    <t>2013-04-30</t>
  </si>
  <si>
    <t>2013-04-29</t>
  </si>
  <si>
    <t>2013-04-28</t>
  </si>
  <si>
    <t>2013-04-24</t>
  </si>
  <si>
    <t>2013-04-23</t>
  </si>
  <si>
    <t>2013-04-22</t>
  </si>
  <si>
    <t>2013-04-21</t>
  </si>
  <si>
    <t>2013-04-18</t>
  </si>
  <si>
    <t>2013-04-17</t>
  </si>
  <si>
    <t>2013-04-16</t>
  </si>
  <si>
    <t>2013-04-15</t>
  </si>
  <si>
    <t>2013-04-14</t>
  </si>
  <si>
    <t>2013-04-11</t>
  </si>
  <si>
    <t>2013-04-10</t>
  </si>
  <si>
    <t>2013-04-09</t>
  </si>
  <si>
    <t>2013-04-08</t>
  </si>
  <si>
    <t>2013-04-07</t>
  </si>
  <si>
    <t>2013-04-04</t>
  </si>
  <si>
    <t>2013-04-03</t>
  </si>
  <si>
    <t>2013-04-02</t>
  </si>
  <si>
    <t>2013-03-31</t>
  </si>
  <si>
    <t>2013-03-28</t>
  </si>
  <si>
    <t>2013-03-27</t>
  </si>
  <si>
    <t>2013-03-26</t>
  </si>
  <si>
    <t>2013-03-25</t>
  </si>
  <si>
    <t>2013-03-24</t>
  </si>
  <si>
    <t>2013-03-21</t>
  </si>
  <si>
    <t>2013-03-20</t>
  </si>
  <si>
    <t>2013-03-19</t>
  </si>
  <si>
    <t>2013-03-18</t>
  </si>
  <si>
    <t>2013-03-17</t>
  </si>
  <si>
    <t>2013-03-14</t>
  </si>
  <si>
    <t>2013-03-13</t>
  </si>
  <si>
    <t>2013-03-12</t>
  </si>
  <si>
    <t>2013-03-11</t>
  </si>
  <si>
    <t>2013-03-10</t>
  </si>
  <si>
    <t>2013-03-07</t>
  </si>
  <si>
    <t>2013-03-06</t>
  </si>
  <si>
    <t>2013-03-05</t>
  </si>
  <si>
    <t>2013-03-04</t>
  </si>
  <si>
    <t>2013-02-28</t>
  </si>
  <si>
    <t>2013-02-27</t>
  </si>
  <si>
    <t>2013-02-26</t>
  </si>
  <si>
    <t>2013-02-25</t>
  </si>
  <si>
    <t>2013-02-24</t>
  </si>
  <si>
    <t>2013-02-21</t>
  </si>
  <si>
    <t>2013-02-20</t>
  </si>
  <si>
    <t>2013-02-19</t>
  </si>
  <si>
    <t>2013-02-18</t>
  </si>
  <si>
    <t>2013-02-17</t>
  </si>
  <si>
    <t>2013-02-14</t>
  </si>
  <si>
    <t>2013-02-13</t>
  </si>
  <si>
    <t>2013-02-12</t>
  </si>
  <si>
    <t>2013-02-11</t>
  </si>
  <si>
    <t>2013-02-10</t>
  </si>
  <si>
    <t>2013-02-07</t>
  </si>
  <si>
    <t>2013-02-06</t>
  </si>
  <si>
    <t>2013-02-05</t>
  </si>
  <si>
    <t>2013-02-04</t>
  </si>
  <si>
    <t>2013-01-31</t>
  </si>
  <si>
    <t>2013-01-30</t>
  </si>
  <si>
    <t>2013-01-29</t>
  </si>
  <si>
    <t>2013-01-28</t>
  </si>
  <si>
    <t>2013-01-27</t>
  </si>
  <si>
    <t>2013-01-23</t>
  </si>
  <si>
    <t>2013-01-22</t>
  </si>
  <si>
    <t>2013-01-21</t>
  </si>
  <si>
    <t>2013-01-20</t>
  </si>
  <si>
    <t>2013-01-17</t>
  </si>
  <si>
    <t>2013-01-16</t>
  </si>
  <si>
    <t>2013-01-15</t>
  </si>
  <si>
    <t>2013-01-14</t>
  </si>
  <si>
    <t>2013-01-13</t>
  </si>
  <si>
    <t>2013-01-10</t>
  </si>
  <si>
    <t>2013-01-09</t>
  </si>
  <si>
    <t>2013-01-08</t>
  </si>
  <si>
    <t>2013-01-06</t>
  </si>
  <si>
    <t>2013-01-03</t>
  </si>
  <si>
    <t>2012-12-31</t>
  </si>
  <si>
    <t>2012-12-30</t>
  </si>
  <si>
    <t>2012-12-27</t>
  </si>
  <si>
    <t>2012-12-26</t>
  </si>
  <si>
    <t>2012-12-25</t>
  </si>
  <si>
    <t>2012-12-24</t>
  </si>
  <si>
    <t>2012-12-23</t>
  </si>
  <si>
    <t>2012-12-20</t>
  </si>
  <si>
    <t>2012-12-19</t>
  </si>
  <si>
    <t>2012-12-18</t>
  </si>
  <si>
    <t>2012-12-17</t>
  </si>
  <si>
    <t>2012-12-16</t>
  </si>
  <si>
    <t>2012-12-11</t>
  </si>
  <si>
    <t>2012-12-10</t>
  </si>
  <si>
    <t>2012-12-06</t>
  </si>
  <si>
    <t>2012-12-05</t>
  </si>
  <si>
    <t>2012-12-04</t>
  </si>
  <si>
    <t>2012-12-03</t>
  </si>
  <si>
    <t>2012-11-29</t>
  </si>
  <si>
    <t>2012-11-28</t>
  </si>
  <si>
    <t>2012-11-27</t>
  </si>
  <si>
    <t>2012-11-26</t>
  </si>
  <si>
    <t>2012-11-25</t>
  </si>
  <si>
    <t>2012-11-22</t>
  </si>
  <si>
    <t>2012-11-21</t>
  </si>
  <si>
    <t>2012-11-20</t>
  </si>
  <si>
    <t>2012-11-19</t>
  </si>
  <si>
    <t>2012-11-18</t>
  </si>
  <si>
    <t>2012-11-14</t>
  </si>
  <si>
    <t>2012-11-13</t>
  </si>
  <si>
    <t>2012-11-12</t>
  </si>
  <si>
    <t>2012-11-11</t>
  </si>
  <si>
    <t>2012-11-08</t>
  </si>
  <si>
    <t>2012-11-07</t>
  </si>
  <si>
    <t>2012-11-06</t>
  </si>
  <si>
    <t>2012-11-05</t>
  </si>
  <si>
    <t>2012-11-04</t>
  </si>
  <si>
    <t>2012-10-31</t>
  </si>
  <si>
    <t>2012-10-30</t>
  </si>
  <si>
    <t>2012-10-29</t>
  </si>
  <si>
    <t>2012-10-24</t>
  </si>
  <si>
    <t>2012-10-23</t>
  </si>
  <si>
    <t>2012-10-22</t>
  </si>
  <si>
    <t>2012-10-21</t>
  </si>
  <si>
    <t>2012-10-18</t>
  </si>
  <si>
    <t>2012-10-17</t>
  </si>
  <si>
    <t>2012-10-16</t>
  </si>
  <si>
    <t>2012-10-15</t>
  </si>
  <si>
    <t>2012-10-14</t>
  </si>
  <si>
    <t>2012-10-11</t>
  </si>
  <si>
    <t>2012-10-10</t>
  </si>
  <si>
    <t>2012-10-09</t>
  </si>
  <si>
    <t>2012-10-08</t>
  </si>
  <si>
    <t>2012-10-04</t>
  </si>
  <si>
    <t>2012-10-03</t>
  </si>
  <si>
    <t>2012-10-02</t>
  </si>
  <si>
    <t>2012-09-30</t>
  </si>
  <si>
    <t>2012-09-27</t>
  </si>
  <si>
    <t>2012-09-26</t>
  </si>
  <si>
    <t>2012-09-25</t>
  </si>
  <si>
    <t>2012-09-24</t>
  </si>
  <si>
    <t>2012-09-23</t>
  </si>
  <si>
    <t>2012-09-20</t>
  </si>
  <si>
    <t>2012-09-19</t>
  </si>
  <si>
    <t>2012-09-18</t>
  </si>
  <si>
    <t>2012-09-17</t>
  </si>
  <si>
    <t>2012-09-16</t>
  </si>
  <si>
    <t>2012-09-13</t>
  </si>
  <si>
    <t>2012-09-12</t>
  </si>
  <si>
    <t>2012-09-11</t>
  </si>
  <si>
    <t>2012-09-10</t>
  </si>
  <si>
    <t>2012-09-09</t>
  </si>
  <si>
    <t>2012-09-06</t>
  </si>
  <si>
    <t>2012-09-05</t>
  </si>
  <si>
    <t>2012-09-04</t>
  </si>
  <si>
    <t>2012-09-03</t>
  </si>
  <si>
    <t>2012-08-30</t>
  </si>
  <si>
    <t>2012-08-29</t>
  </si>
  <si>
    <t>2012-08-28</t>
  </si>
  <si>
    <t>2012-08-27</t>
  </si>
  <si>
    <t>2012-08-26</t>
  </si>
  <si>
    <t>2012-08-23</t>
  </si>
  <si>
    <t>2012-08-22</t>
  </si>
  <si>
    <t>2012-08-21</t>
  </si>
  <si>
    <t>2012-08-16</t>
  </si>
  <si>
    <t>2012-08-14</t>
  </si>
  <si>
    <t>2012-08-13</t>
  </si>
  <si>
    <t>2012-08-12</t>
  </si>
  <si>
    <t>2012-08-09</t>
  </si>
  <si>
    <t>2012-08-08</t>
  </si>
  <si>
    <t>2012-08-07</t>
  </si>
  <si>
    <t>2012-08-06</t>
  </si>
  <si>
    <t>2012-08-05</t>
  </si>
  <si>
    <t>2012-08-02</t>
  </si>
  <si>
    <t>2012-07-30</t>
  </si>
  <si>
    <t>2012-07-26</t>
  </si>
  <si>
    <t>2012-07-25</t>
  </si>
  <si>
    <t>2012-07-24</t>
  </si>
  <si>
    <t>2012-07-19</t>
  </si>
  <si>
    <t>2012-07-18</t>
  </si>
  <si>
    <t>2012-07-17</t>
  </si>
  <si>
    <t>2012-07-16</t>
  </si>
  <si>
    <t>2012-07-12</t>
  </si>
  <si>
    <t>2012-07-11</t>
  </si>
  <si>
    <t>2012-07-10</t>
  </si>
  <si>
    <t>2012-07-09</t>
  </si>
  <si>
    <t>2012-07-08</t>
  </si>
  <si>
    <t>2012-07-05</t>
  </si>
  <si>
    <t>2012-07-04</t>
  </si>
  <si>
    <t>2012-07-03</t>
  </si>
  <si>
    <t>Should be updated</t>
  </si>
  <si>
    <t>Daily Value Traded</t>
  </si>
  <si>
    <t>% of ADVT of MCAP</t>
  </si>
  <si>
    <t>VWAP 1Y</t>
  </si>
  <si>
    <t xml:space="preserve"> VT</t>
  </si>
  <si>
    <t>Enterprise Value - Multible</t>
  </si>
  <si>
    <t>Minority Interest</t>
  </si>
  <si>
    <t>AS</t>
  </si>
  <si>
    <t>GSSP</t>
  </si>
  <si>
    <t>PSSP</t>
  </si>
  <si>
    <t>CSA</t>
  </si>
  <si>
    <t>DCP</t>
  </si>
  <si>
    <t>Exports</t>
  </si>
  <si>
    <t>Local</t>
  </si>
  <si>
    <t>Fuel &amp; Spare Parts</t>
  </si>
  <si>
    <t>EBITDA Growth</t>
  </si>
  <si>
    <t>Peers table</t>
  </si>
  <si>
    <t>PE</t>
  </si>
  <si>
    <t>PB</t>
  </si>
  <si>
    <t>2017e</t>
  </si>
  <si>
    <t>2018e</t>
  </si>
  <si>
    <t>Global players</t>
  </si>
  <si>
    <t>Yara</t>
  </si>
  <si>
    <t>OCI NV</t>
  </si>
  <si>
    <t>NMF</t>
  </si>
  <si>
    <t>Agrium</t>
  </si>
  <si>
    <t>Mosaic</t>
  </si>
  <si>
    <t>Potash Corp</t>
  </si>
  <si>
    <t>CF</t>
  </si>
  <si>
    <t>Emerging market players</t>
  </si>
  <si>
    <t>SAFCO</t>
  </si>
  <si>
    <t>Chambal Fertilizers and Chemicals Ltd</t>
  </si>
  <si>
    <t>Engro Fertilizers Ltd</t>
  </si>
  <si>
    <t>Fauji Fertilizer Bin Qasim Ltd</t>
  </si>
  <si>
    <t>Hubei Xinyangfeng Fertilizer Co Ltd</t>
  </si>
  <si>
    <t>Fatima Fertilizer Co Ltd</t>
  </si>
  <si>
    <t>Fauji Fertilizer Co Ltd</t>
  </si>
  <si>
    <t>Petrovietnam Fertilizer &amp; Chemicals JSC</t>
  </si>
  <si>
    <t>Binh Dien Fertilizer JSC</t>
  </si>
  <si>
    <t>MOPCO</t>
  </si>
  <si>
    <t>Abu Qir</t>
  </si>
  <si>
    <t>Average global</t>
  </si>
  <si>
    <t>Average emerging</t>
  </si>
  <si>
    <t>Average (global + emerging)</t>
  </si>
  <si>
    <t>(LE 000's)</t>
  </si>
  <si>
    <t>2017-12-21</t>
  </si>
  <si>
    <t>2017-12-20</t>
  </si>
  <si>
    <t>2017-12-19</t>
  </si>
  <si>
    <t>2017-12-18</t>
  </si>
  <si>
    <t>2017-12-17</t>
  </si>
  <si>
    <t>2017-12-14</t>
  </si>
  <si>
    <t>2017-12-13</t>
  </si>
  <si>
    <t>2017-12-12</t>
  </si>
  <si>
    <t>2017-12-11</t>
  </si>
  <si>
    <t>2017-12-07</t>
  </si>
  <si>
    <t>2017-12-06</t>
  </si>
  <si>
    <t>2017-12-05</t>
  </si>
  <si>
    <t>2017-12-31</t>
  </si>
  <si>
    <t>2017-12-28</t>
  </si>
  <si>
    <t>2017-12-27</t>
  </si>
  <si>
    <t>2017-12-25</t>
  </si>
  <si>
    <t xml:space="preserve">Company Products </t>
  </si>
  <si>
    <t xml:space="preserve">Commercial Goods </t>
  </si>
  <si>
    <t xml:space="preserve">Others </t>
  </si>
  <si>
    <t>Land</t>
  </si>
  <si>
    <t>Buildings and Infrastructure</t>
  </si>
  <si>
    <t>Machinery and Equipment</t>
  </si>
  <si>
    <t>Vehicles</t>
  </si>
  <si>
    <t>Furniture and Fixtures</t>
  </si>
  <si>
    <t>Tools</t>
  </si>
  <si>
    <t>Q3 2016</t>
  </si>
  <si>
    <t>Debt FY2016</t>
  </si>
  <si>
    <t>Cash FY2016</t>
  </si>
  <si>
    <t xml:space="preserve"> - Minority Interest</t>
  </si>
  <si>
    <t>2018-01-15</t>
  </si>
  <si>
    <t>2018-01-14</t>
  </si>
  <si>
    <t>2018-01-11</t>
  </si>
  <si>
    <t>2018-01-09</t>
  </si>
  <si>
    <t>2018-01-08</t>
  </si>
  <si>
    <t>2018-01-04</t>
  </si>
  <si>
    <t>2018-01-03</t>
  </si>
  <si>
    <t>2018-01-02</t>
  </si>
  <si>
    <t>2017-12-10</t>
  </si>
  <si>
    <t>2017-11-15</t>
  </si>
  <si>
    <t>2017-11-07</t>
  </si>
  <si>
    <t>2015-12-15</t>
  </si>
  <si>
    <t>2015-10-22</t>
  </si>
  <si>
    <t>2011-04-19</t>
  </si>
  <si>
    <t>2011-03-24</t>
  </si>
  <si>
    <t>2006-04-14</t>
  </si>
  <si>
    <t>2006-04-13</t>
  </si>
  <si>
    <t>2006-04-06</t>
  </si>
  <si>
    <t>2006-04-03</t>
  </si>
  <si>
    <t>2006-03-30</t>
  </si>
  <si>
    <t>2005-12-29</t>
  </si>
  <si>
    <t>2005-08-28</t>
  </si>
  <si>
    <t>31/12/2017</t>
  </si>
  <si>
    <t>KZPC</t>
  </si>
  <si>
    <t xml:space="preserve"> Ef</t>
  </si>
  <si>
    <t>Currency:</t>
  </si>
  <si>
    <t>Company Name:</t>
  </si>
  <si>
    <t>starting from 2014</t>
  </si>
  <si>
    <t>Begining fiscal year:</t>
  </si>
  <si>
    <t>Abbas</t>
  </si>
  <si>
    <t>Company name: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</si>
  <si>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</si>
  <si>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</si>
  <si>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</si>
  <si>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</si>
  <si>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</si>
  <si>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</si>
  <si>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</si>
  <si>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</si>
  <si>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</si>
  <si>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</si>
  <si>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</si>
  <si>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</si>
  <si>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</si>
  <si>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</si>
  <si>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</si>
  <si>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</si>
  <si>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</si>
  <si>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</si>
  <si>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</si>
  <si>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</si>
  <si>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</si>
  <si>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</si>
  <si>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</si>
  <si>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</si>
  <si>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</si>
  <si>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</si>
  <si>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</si>
  <si>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</si>
  <si>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</si>
  <si>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</si>
  <si>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</si>
  <si>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</si>
  <si>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</si>
  <si>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</si>
  <si>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</si>
  <si>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</si>
  <si>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</si>
  <si>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</si>
  <si>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</si>
  <si>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</si>
  <si>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</si>
  <si>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</si>
  <si>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</si>
  <si>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</si>
  <si>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</si>
  <si>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</si>
  <si>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</si>
  <si>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</si>
  <si>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</si>
  <si>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</si>
  <si>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</si>
  <si>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</si>
  <si>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</si>
  <si>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</si>
  <si>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</si>
  <si>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</si>
  <si>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</si>
  <si>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</si>
  <si>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</si>
  <si>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</si>
  <si>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</si>
  <si>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</si>
  <si>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</si>
  <si>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</si>
  <si>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</si>
  <si>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</si>
  <si>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</si>
  <si>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</si>
  <si>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</si>
  <si>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</si>
  <si>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</si>
  <si>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</si>
  <si>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</si>
  <si>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</si>
  <si>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</si>
  <si>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</si>
  <si>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</si>
  <si>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</si>
  <si>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</si>
  <si>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</si>
  <si>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</si>
  <si>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</si>
  <si>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</si>
  <si>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</si>
  <si>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</si>
  <si>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</si>
  <si>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</si>
  <si>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</si>
  <si>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</si>
  <si>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</si>
  <si>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</si>
  <si>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</si>
  <si>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</si>
  <si>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Income Statement:</t>
  </si>
  <si>
    <t>Depreciation COGS</t>
  </si>
  <si>
    <t>Net profit (Check)</t>
  </si>
  <si>
    <t>Other adjustment in Retained Earnings</t>
  </si>
  <si>
    <t>can be replaced by Net Inventory</t>
  </si>
  <si>
    <t>Due from sister co (short term)</t>
  </si>
  <si>
    <t>can be replaced by Net PP&amp;E</t>
  </si>
  <si>
    <t>Due from sisters (Long term)</t>
  </si>
  <si>
    <t>can be replaced by net other intangible</t>
  </si>
  <si>
    <t>TOTAL ASSETS (Check)</t>
  </si>
  <si>
    <t>*Due to sister co (short term)</t>
  </si>
  <si>
    <t>Due to sister co (Long term)</t>
  </si>
  <si>
    <t>Check</t>
  </si>
  <si>
    <t>TOTAL LIABS &amp; EQUITY (Check)</t>
  </si>
  <si>
    <t>Balance Sheet (Assets):</t>
  </si>
  <si>
    <t>FX gain (or loss)</t>
  </si>
  <si>
    <t>Depreciation SG&amp;A</t>
  </si>
  <si>
    <t>Cp Ltd</t>
  </si>
  <si>
    <t>EBIT/Total debt service</t>
  </si>
  <si>
    <t>Interest Coverage - DSCR</t>
  </si>
  <si>
    <t>Book Debt to Capital</t>
  </si>
  <si>
    <t>interest bearing debts positions</t>
  </si>
  <si>
    <t>liab/equity</t>
  </si>
  <si>
    <t>financial leverage position</t>
  </si>
  <si>
    <t>green to red</t>
  </si>
  <si>
    <t>Damodaran &amp; pre rates</t>
  </si>
  <si>
    <t>Leverage &amp; Interest</t>
  </si>
  <si>
    <t>WC/Sales</t>
  </si>
  <si>
    <t xml:space="preserve">Cash conversion cycle </t>
  </si>
  <si>
    <t>take care of losing suppliers</t>
  </si>
  <si>
    <t xml:space="preserve">AP/Sales </t>
  </si>
  <si>
    <t>Inv. /Sales</t>
  </si>
  <si>
    <t>inventory handling</t>
  </si>
  <si>
    <t>take care of losing clients</t>
  </si>
  <si>
    <t>AR/ Sales</t>
  </si>
  <si>
    <t>credit clients position</t>
  </si>
  <si>
    <t>Damodaran</t>
  </si>
  <si>
    <t>generating returns on the capital invested</t>
  </si>
  <si>
    <t>Net Margin</t>
  </si>
  <si>
    <t>Ability to generate net profit</t>
  </si>
  <si>
    <t>EBITDA/Sales</t>
  </si>
  <si>
    <t>Gross Margin</t>
  </si>
  <si>
    <t>Ability to generate profit from main operations</t>
  </si>
  <si>
    <t>red to green</t>
  </si>
  <si>
    <t>Quick Ratio</t>
  </si>
  <si>
    <t>Current Ratio</t>
  </si>
  <si>
    <t>result</t>
  </si>
  <si>
    <t xml:space="preserve">how to calculate </t>
  </si>
  <si>
    <t xml:space="preserve">Overall performance </t>
  </si>
  <si>
    <t>Year:</t>
  </si>
  <si>
    <t>Comparable</t>
  </si>
  <si>
    <t>All Colored as the results</t>
  </si>
  <si>
    <t>compared to comparable lower is better</t>
  </si>
  <si>
    <t>compared to comparable higher is better</t>
  </si>
  <si>
    <t>compared to comparable with 3% margin higher is better</t>
  </si>
  <si>
    <t>compared to comparable with 3% margin lower is better</t>
  </si>
  <si>
    <t>Using simple vlockup</t>
  </si>
  <si>
    <t>Industry inserted by client</t>
  </si>
  <si>
    <t>Market Conditions similar to:</t>
  </si>
  <si>
    <t>Meeting short term obligations</t>
  </si>
  <si>
    <t>Ability to meet short term obligations after excluding Inventory</t>
  </si>
  <si>
    <t>Profitability</t>
  </si>
  <si>
    <t xml:space="preserve">Ability to generate profit from total cash operations </t>
  </si>
  <si>
    <t>Management efficiency</t>
  </si>
  <si>
    <t>don’t titan your inventory you may have a large amount to be sold</t>
  </si>
  <si>
    <t>suppliers on credit position</t>
  </si>
  <si>
    <t>Emerging Markets</t>
  </si>
  <si>
    <t>Equity Holding</t>
  </si>
  <si>
    <t>CEO Holding</t>
  </si>
  <si>
    <t>Institutional Holdings</t>
  </si>
  <si>
    <t>Insider Holdings</t>
  </si>
  <si>
    <t>D/E Ratio</t>
  </si>
  <si>
    <t>Effective Tax rate</t>
  </si>
  <si>
    <t>ROC</t>
  </si>
  <si>
    <t>STD as % of Total Debt</t>
  </si>
  <si>
    <t>Net PP&amp;E/Total Assets</t>
  </si>
  <si>
    <t>Capital Spending/Total Assets</t>
  </si>
  <si>
    <t>Dividend Payout</t>
  </si>
  <si>
    <t>Cap Ex/Deprecn</t>
  </si>
  <si>
    <t>Net Cap Ex/Sales</t>
  </si>
  <si>
    <t>Net Cap Ex/ EBIT (1-t)</t>
  </si>
  <si>
    <t>Sales/Capital</t>
  </si>
  <si>
    <t>EBITDASG&amp;A/Sales</t>
  </si>
  <si>
    <t>COGS/Sales</t>
  </si>
  <si>
    <t>SG&amp;A/ Sales</t>
  </si>
  <si>
    <t>Acc Rec/ Sales</t>
  </si>
  <si>
    <t>Inventory/Sales</t>
  </si>
  <si>
    <t>Acc Pay/ Sales</t>
  </si>
  <si>
    <t>Non-cash WC/ Sales</t>
  </si>
  <si>
    <t>WC excluding cash/Sales</t>
  </si>
  <si>
    <t>US</t>
  </si>
  <si>
    <t>Europe</t>
  </si>
  <si>
    <t>Japan</t>
  </si>
  <si>
    <t>China</t>
  </si>
  <si>
    <t>India</t>
  </si>
  <si>
    <t>Global</t>
  </si>
  <si>
    <t>cash out</t>
  </si>
  <si>
    <t xml:space="preserve">depends </t>
  </si>
  <si>
    <t xml:space="preserve">cash in </t>
  </si>
  <si>
    <t>IN</t>
  </si>
  <si>
    <t>OUT</t>
  </si>
  <si>
    <t>Income Statement</t>
  </si>
  <si>
    <t xml:space="preserve">changeable </t>
  </si>
  <si>
    <t xml:space="preserve">Price </t>
  </si>
  <si>
    <t xml:space="preserve">volume </t>
  </si>
  <si>
    <t>sum value</t>
  </si>
  <si>
    <t xml:space="preserve">Result </t>
  </si>
  <si>
    <t xml:space="preserve">Last Figure </t>
  </si>
  <si>
    <t>last change in %</t>
  </si>
  <si>
    <t>Market:</t>
  </si>
  <si>
    <t>Market Figure</t>
  </si>
  <si>
    <t>Type of change</t>
  </si>
  <si>
    <t>Numbers</t>
  </si>
  <si>
    <t>old figures should came from last income statement</t>
  </si>
  <si>
    <t>Percentage</t>
  </si>
  <si>
    <t>Net Sales</t>
  </si>
  <si>
    <t>Figure</t>
  </si>
  <si>
    <t>Client Input</t>
  </si>
  <si>
    <t>No Change</t>
  </si>
  <si>
    <t>Change %</t>
  </si>
  <si>
    <t>Last effective rate is used in no change</t>
  </si>
  <si>
    <t>Client effective rate</t>
  </si>
  <si>
    <t>Last Effective</t>
  </si>
  <si>
    <t>Average Market Price per share</t>
  </si>
  <si>
    <t>Activity</t>
  </si>
  <si>
    <t>should be colered percentages</t>
  </si>
  <si>
    <t xml:space="preserve">Effective Tax Rate </t>
  </si>
  <si>
    <t xml:space="preserve">Pricing </t>
  </si>
  <si>
    <t>Cost</t>
  </si>
  <si>
    <t>Markup</t>
  </si>
  <si>
    <t>=</t>
  </si>
  <si>
    <t>Price</t>
  </si>
  <si>
    <t>price</t>
  </si>
  <si>
    <t>Quantity</t>
  </si>
  <si>
    <t xml:space="preserve">Including all related to production costs </t>
  </si>
  <si>
    <t xml:space="preserve">per unit </t>
  </si>
  <si>
    <t>no effect except if its calculated upon the production unit</t>
  </si>
  <si>
    <t>Summation</t>
  </si>
  <si>
    <t>may vary due to commission and other related to sales items</t>
  </si>
  <si>
    <t xml:space="preserve">olde figure here </t>
  </si>
  <si>
    <t>new figure not including the variable cost</t>
  </si>
  <si>
    <t>no effect except if its calculated upon allowances of accounts receivables</t>
  </si>
  <si>
    <t xml:space="preserve">no change </t>
  </si>
  <si>
    <t>no change except if you are going to take overdraft to pay for your inventory</t>
  </si>
  <si>
    <t>no change except if you are going to liquidate some of the intrest generating assets to pay for the inventoery</t>
  </si>
  <si>
    <t>no change</t>
  </si>
  <si>
    <t xml:space="preserve">new calculation depends on the effective tax rate </t>
  </si>
  <si>
    <t xml:space="preserve">last effective tax </t>
  </si>
  <si>
    <t>new effective tax if any</t>
  </si>
  <si>
    <t>Net profit to sales</t>
  </si>
  <si>
    <t xml:space="preserve">if your customer is going to delay </t>
  </si>
  <si>
    <t xml:space="preserve">price without delay </t>
  </si>
  <si>
    <t>you can either charge a risk free rate (bank rate on deposits) only or + margin</t>
  </si>
  <si>
    <t xml:space="preserve">date product deliverd </t>
  </si>
  <si>
    <t xml:space="preserve">date of payment </t>
  </si>
  <si>
    <t>Interest</t>
  </si>
  <si>
    <t xml:space="preserve">if installments </t>
  </si>
  <si>
    <t>Rate</t>
  </si>
  <si>
    <t xml:space="preserve">weekly </t>
  </si>
  <si>
    <t xml:space="preserve">monthly </t>
  </si>
  <si>
    <t>full year</t>
  </si>
  <si>
    <t xml:space="preserve">Item </t>
  </si>
  <si>
    <t>Comment</t>
  </si>
  <si>
    <t>insert</t>
  </si>
  <si>
    <t xml:space="preserve">insert </t>
  </si>
  <si>
    <t>Coping input sheet</t>
  </si>
  <si>
    <t>each product multiplied by quantity</t>
  </si>
  <si>
    <t>old</t>
  </si>
  <si>
    <t>variable cost per each product</t>
  </si>
  <si>
    <t>new figure</t>
  </si>
  <si>
    <t>Advice:</t>
  </si>
  <si>
    <t>Be cosirvitave when building your projected figures</t>
  </si>
  <si>
    <t>Articles:</t>
  </si>
  <si>
    <t>https://www.entrepreneur.com/article/290617</t>
  </si>
  <si>
    <t>new</t>
  </si>
  <si>
    <t xml:space="preserve">insert minimum cash level </t>
  </si>
  <si>
    <t xml:space="preserve">CALCULATED </t>
  </si>
  <si>
    <t>amount of old variable costs</t>
  </si>
  <si>
    <t>each product variable cost</t>
  </si>
  <si>
    <t xml:space="preserve">take care of variable sales </t>
  </si>
  <si>
    <t>take care to reflect the amount in interest expence</t>
  </si>
  <si>
    <t xml:space="preserve">items </t>
  </si>
  <si>
    <t>a graph shows company life cycle should be added also in ratio comparison with damodaran</t>
  </si>
  <si>
    <t>either last projected or last in the financial years</t>
  </si>
  <si>
    <t>Linked to budget sheet</t>
  </si>
  <si>
    <t>Month</t>
  </si>
  <si>
    <t xml:space="preserve">Quarter </t>
  </si>
  <si>
    <t>Half</t>
  </si>
  <si>
    <t xml:space="preserve">Year </t>
  </si>
  <si>
    <t>Weekly</t>
  </si>
  <si>
    <t>Income Statement: from client input sheet</t>
  </si>
  <si>
    <t>weekly</t>
  </si>
  <si>
    <t>Monthly</t>
  </si>
  <si>
    <t>Quarterly</t>
  </si>
  <si>
    <t>Full Year</t>
  </si>
  <si>
    <t>Half Year</t>
  </si>
  <si>
    <t>Q1</t>
  </si>
  <si>
    <t>Q2</t>
  </si>
  <si>
    <t>Q3</t>
  </si>
  <si>
    <t>Q4</t>
  </si>
  <si>
    <t>1st Half</t>
  </si>
  <si>
    <t>2nd Half</t>
  </si>
  <si>
    <t>show a year client choose</t>
  </si>
  <si>
    <t>choose upove</t>
  </si>
  <si>
    <t>in page of things you must know:</t>
  </si>
  <si>
    <t>Currency</t>
  </si>
  <si>
    <t>Symbol</t>
  </si>
  <si>
    <t>Digital code</t>
  </si>
  <si>
    <t>Name</t>
  </si>
  <si>
    <t>Country</t>
  </si>
  <si>
    <t>AED</t>
  </si>
  <si>
    <t>د.إ</t>
  </si>
  <si>
    <t>UAE Dirham</t>
  </si>
  <si>
    <t>UAE</t>
  </si>
  <si>
    <t>AFN</t>
  </si>
  <si>
    <t>Af</t>
  </si>
  <si>
    <t>Afghani</t>
  </si>
  <si>
    <t>Afghanistan</t>
  </si>
  <si>
    <t>ALL</t>
  </si>
  <si>
    <t>L</t>
  </si>
  <si>
    <t>Lek</t>
  </si>
  <si>
    <t>Albania</t>
  </si>
  <si>
    <t>AMD</t>
  </si>
  <si>
    <t>Դ</t>
  </si>
  <si>
    <t>Armenian Dram</t>
  </si>
  <si>
    <t>Armenia</t>
  </si>
  <si>
    <t>AOA</t>
  </si>
  <si>
    <t>Kz</t>
  </si>
  <si>
    <t>Kwanza</t>
  </si>
  <si>
    <t>Angola</t>
  </si>
  <si>
    <t>ARS</t>
  </si>
  <si>
    <t>$</t>
  </si>
  <si>
    <t>Argentine Peso</t>
  </si>
  <si>
    <t>Argentina</t>
  </si>
  <si>
    <t>AUD</t>
  </si>
  <si>
    <t>Australian Dollar</t>
  </si>
  <si>
    <t>Australia</t>
  </si>
  <si>
    <t>Kiribati</t>
  </si>
  <si>
    <t>Coconut Islands</t>
  </si>
  <si>
    <t>Nauru</t>
  </si>
  <si>
    <t>Tuvalu</t>
  </si>
  <si>
    <t>AWG</t>
  </si>
  <si>
    <t>ƒ</t>
  </si>
  <si>
    <t>Aruban Guilder/Florin</t>
  </si>
  <si>
    <t>Aruba</t>
  </si>
  <si>
    <t>AZN</t>
  </si>
  <si>
    <t>ман</t>
  </si>
  <si>
    <t>Azerbaijanian Manat</t>
  </si>
  <si>
    <t>Azerbaijan</t>
  </si>
  <si>
    <t>BAM</t>
  </si>
  <si>
    <t>КМ</t>
  </si>
  <si>
    <t>Konvertibilna Marka</t>
  </si>
  <si>
    <t>Bosnia and Herzegovina</t>
  </si>
  <si>
    <t>BBD</t>
  </si>
  <si>
    <t>Barbados Dollar</t>
  </si>
  <si>
    <t>Barbados</t>
  </si>
  <si>
    <t>BDT</t>
  </si>
  <si>
    <t>৳</t>
  </si>
  <si>
    <t>Taka</t>
  </si>
  <si>
    <t>Bangladesh</t>
  </si>
  <si>
    <t>BGN</t>
  </si>
  <si>
    <t>лв</t>
  </si>
  <si>
    <t>Bulgarian Lev</t>
  </si>
  <si>
    <t>Bulgaria</t>
  </si>
  <si>
    <t>BHD</t>
  </si>
  <si>
    <t>ب.د</t>
  </si>
  <si>
    <t>Bahraini Dinar</t>
  </si>
  <si>
    <t>Bahrain</t>
  </si>
  <si>
    <t>BIF</t>
  </si>
  <si>
    <t>₣</t>
  </si>
  <si>
    <t>Burundi Franc</t>
  </si>
  <si>
    <t>Burundi</t>
  </si>
  <si>
    <t>BMD</t>
  </si>
  <si>
    <t>Bermudian Dollar</t>
  </si>
  <si>
    <t>Bermuda</t>
  </si>
  <si>
    <t>BND</t>
  </si>
  <si>
    <t>Brunei Dollar</t>
  </si>
  <si>
    <t>Brunei</t>
  </si>
  <si>
    <t>Singapore</t>
  </si>
  <si>
    <t>BOB</t>
  </si>
  <si>
    <t>Bs.</t>
  </si>
  <si>
    <t>Boliviano</t>
  </si>
  <si>
    <t>Bolivia</t>
  </si>
  <si>
    <t>BRL</t>
  </si>
  <si>
    <t>R$</t>
  </si>
  <si>
    <t>Brazilian Real</t>
  </si>
  <si>
    <t>Brazil</t>
  </si>
  <si>
    <t>BSD</t>
  </si>
  <si>
    <t>Bahamian Dollar</t>
  </si>
  <si>
    <t>Bahamas</t>
  </si>
  <si>
    <t>BTN</t>
  </si>
  <si>
    <t>Ngultrum</t>
  </si>
  <si>
    <t>Bhutan</t>
  </si>
  <si>
    <t>BWP</t>
  </si>
  <si>
    <t>P</t>
  </si>
  <si>
    <t>Pula</t>
  </si>
  <si>
    <t>Botswana</t>
  </si>
  <si>
    <t>BYN</t>
  </si>
  <si>
    <t>Br</t>
  </si>
  <si>
    <t>Belarusian Ruble</t>
  </si>
  <si>
    <t>Belarus</t>
  </si>
  <si>
    <t>BZD</t>
  </si>
  <si>
    <t>Belize Dollar</t>
  </si>
  <si>
    <t>Belize</t>
  </si>
  <si>
    <t>CAD</t>
  </si>
  <si>
    <t>Canadian Dollar</t>
  </si>
  <si>
    <t>Canada</t>
  </si>
  <si>
    <t>CDF</t>
  </si>
  <si>
    <t>Congolese Franc</t>
  </si>
  <si>
    <t>Congo (Kinshasa)</t>
  </si>
  <si>
    <t>CHF</t>
  </si>
  <si>
    <t>Swiss Franc</t>
  </si>
  <si>
    <t>Lichtenstein</t>
  </si>
  <si>
    <t>Switzerland</t>
  </si>
  <si>
    <t>CLP</t>
  </si>
  <si>
    <t>Chilean Peso</t>
  </si>
  <si>
    <t>Chile</t>
  </si>
  <si>
    <t>CNY</t>
  </si>
  <si>
    <t>¥</t>
  </si>
  <si>
    <t>Yuan</t>
  </si>
  <si>
    <t>COP</t>
  </si>
  <si>
    <t>Colombian Peso</t>
  </si>
  <si>
    <t>Colombia</t>
  </si>
  <si>
    <t>CRC</t>
  </si>
  <si>
    <t>₡</t>
  </si>
  <si>
    <t>Costa Rican Colon</t>
  </si>
  <si>
    <t>Costa Rica</t>
  </si>
  <si>
    <t>CUP</t>
  </si>
  <si>
    <t>Cuban Peso</t>
  </si>
  <si>
    <t>Cuba</t>
  </si>
  <si>
    <t>CVE</t>
  </si>
  <si>
    <t>Cape Verde Escudo</t>
  </si>
  <si>
    <t>Cape Verde</t>
  </si>
  <si>
    <t>CZK</t>
  </si>
  <si>
    <t>Kč</t>
  </si>
  <si>
    <t>Czech Koruna</t>
  </si>
  <si>
    <t>Czech Republic</t>
  </si>
  <si>
    <t>DJF</t>
  </si>
  <si>
    <t>Djibouti Franc</t>
  </si>
  <si>
    <t>Djibouti</t>
  </si>
  <si>
    <t>DKK</t>
  </si>
  <si>
    <t>kr</t>
  </si>
  <si>
    <t>Danish Krone</t>
  </si>
  <si>
    <t>Denmark</t>
  </si>
  <si>
    <t>DOP</t>
  </si>
  <si>
    <t>Dominican Peso</t>
  </si>
  <si>
    <t>Dominican Republic</t>
  </si>
  <si>
    <t>DZD</t>
  </si>
  <si>
    <t>د.ج</t>
  </si>
  <si>
    <t>Algerian Dinar</t>
  </si>
  <si>
    <t>Algeria</t>
  </si>
  <si>
    <t>£</t>
  </si>
  <si>
    <t>Egyptian Pound</t>
  </si>
  <si>
    <t>Egypt</t>
  </si>
  <si>
    <t>ERN</t>
  </si>
  <si>
    <t>Nfk</t>
  </si>
  <si>
    <t>Nakfa</t>
  </si>
  <si>
    <t>Eritrea</t>
  </si>
  <si>
    <t>ETB</t>
  </si>
  <si>
    <t>Ethiopian Birr</t>
  </si>
  <si>
    <t>Ethiopia</t>
  </si>
  <si>
    <t>EUR</t>
  </si>
  <si>
    <t>€</t>
  </si>
  <si>
    <t>Euro</t>
  </si>
  <si>
    <t>Akrotiri and Dhekelia</t>
  </si>
  <si>
    <t>Andorra</t>
  </si>
  <si>
    <t>Austria</t>
  </si>
  <si>
    <t>Belgium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</si>
  <si>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</si>
  <si>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</si>
  <si>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</si>
  <si>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</si>
  <si>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</si>
  <si>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</si>
  <si>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</si>
  <si>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</si>
  <si>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Kosovo</t>
  </si>
  <si>
    <t>Latvia</t>
  </si>
  <si>
    <t>Lithuania</t>
  </si>
  <si>
    <t>Luxembourg</t>
  </si>
  <si>
    <t>Malta</t>
  </si>
  <si>
    <t>Monaco</t>
  </si>
  <si>
    <t>Montenegro</t>
  </si>
  <si>
    <t>Netherlands</t>
  </si>
  <si>
    <t>Portugal</t>
  </si>
  <si>
    <t>San-Marino</t>
  </si>
  <si>
    <t>Slovakia</t>
  </si>
  <si>
    <t>Slovenia</t>
  </si>
  <si>
    <t>Spain</t>
  </si>
  <si>
    <t>Vatican</t>
  </si>
  <si>
    <t>FJD</t>
  </si>
  <si>
    <t>Fiji Dollar</t>
  </si>
  <si>
    <t>Fiji</t>
  </si>
  <si>
    <t>FKP</t>
  </si>
  <si>
    <t>Falkland Islands Pound</t>
  </si>
  <si>
    <t>Falkland Islands</t>
  </si>
  <si>
    <t>GBP</t>
  </si>
  <si>
    <t>Pound Sterling</t>
  </si>
  <si>
    <t>Alderney</t>
  </si>
  <si>
    <t>British Indian Ocean Territory</t>
  </si>
  <si>
    <t>Great Britain</t>
  </si>
  <si>
    <t>Isle of Maine</t>
  </si>
  <si>
    <t>GEL</t>
  </si>
  <si>
    <t>ლ</t>
  </si>
  <si>
    <t>Lari</t>
  </si>
  <si>
    <t>Georgia</t>
  </si>
  <si>
    <t>South Ossetia</t>
  </si>
  <si>
    <t>GHS</t>
  </si>
  <si>
    <t>₵</t>
  </si>
  <si>
    <t>Cedi</t>
  </si>
  <si>
    <t>Ghana</t>
  </si>
  <si>
    <t>GIP</t>
  </si>
  <si>
    <t>Gibraltar Pound</t>
  </si>
  <si>
    <t>Gibraltar</t>
  </si>
  <si>
    <t>GMD</t>
  </si>
  <si>
    <t>D</t>
  </si>
  <si>
    <t>Dalasi</t>
  </si>
  <si>
    <t>Gambia</t>
  </si>
  <si>
    <t>GNF</t>
  </si>
  <si>
    <t>Guinea Franc</t>
  </si>
  <si>
    <t>Guinea</t>
  </si>
  <si>
    <t>GTQ</t>
  </si>
  <si>
    <t>Q</t>
  </si>
  <si>
    <t>Quetzal</t>
  </si>
  <si>
    <t>Guatemala</t>
  </si>
  <si>
    <t>GYD</t>
  </si>
  <si>
    <t>Guyana Dollar</t>
  </si>
  <si>
    <t>Guyana</t>
  </si>
  <si>
    <t>HKD</t>
  </si>
  <si>
    <t>Hong Kong Dollar</t>
  </si>
  <si>
    <t>Hong Kong</t>
  </si>
  <si>
    <t>HNL</t>
  </si>
  <si>
    <t>Lempira</t>
  </si>
  <si>
    <t>Honduras</t>
  </si>
  <si>
    <t>HRK</t>
  </si>
  <si>
    <t>Kn</t>
  </si>
  <si>
    <t>Croatian Kuna</t>
  </si>
  <si>
    <t>Croatia</t>
  </si>
  <si>
    <t>HTG</t>
  </si>
  <si>
    <t>G</t>
  </si>
  <si>
    <t>Gourde</t>
  </si>
  <si>
    <t>Haiti</t>
  </si>
  <si>
    <t>HUF</t>
  </si>
  <si>
    <t>Ft</t>
  </si>
  <si>
    <t>Forint</t>
  </si>
  <si>
    <t>Hungary</t>
  </si>
  <si>
    <t>IDR</t>
  </si>
  <si>
    <t>Rp</t>
  </si>
  <si>
    <t>Rupiah</t>
  </si>
  <si>
    <t>Indonesia</t>
  </si>
  <si>
    <t>ILS</t>
  </si>
  <si>
    <t>₪</t>
  </si>
  <si>
    <t>New Israeli Shekel</t>
  </si>
  <si>
    <t>Israel</t>
  </si>
  <si>
    <t>Palestine</t>
  </si>
  <si>
    <t>INR</t>
  </si>
  <si>
    <t>₹</t>
  </si>
  <si>
    <t>Indian Rupee</t>
  </si>
  <si>
    <t>IQD</t>
  </si>
  <si>
    <t>ع.د</t>
  </si>
  <si>
    <t>Iraqi Dinar</t>
  </si>
  <si>
    <t>Iraq</t>
  </si>
  <si>
    <t>IRR</t>
  </si>
  <si>
    <t>﷼</t>
  </si>
  <si>
    <t>Iranian Rial</t>
  </si>
  <si>
    <t>Iran</t>
  </si>
  <si>
    <t>ISK</t>
  </si>
  <si>
    <t>Kr</t>
  </si>
  <si>
    <t>Iceland Krona</t>
  </si>
  <si>
    <t>Iceland</t>
  </si>
  <si>
    <t>JMD</t>
  </si>
  <si>
    <t>Jamaican Dollar</t>
  </si>
  <si>
    <t>Jamaica</t>
  </si>
  <si>
    <t>JOD</t>
  </si>
  <si>
    <t>د.ا</t>
  </si>
  <si>
    <t>Jordanian Dinar</t>
  </si>
  <si>
    <t>Jordan</t>
  </si>
  <si>
    <t>JPY</t>
  </si>
  <si>
    <t>Yen</t>
  </si>
  <si>
    <t>KES</t>
  </si>
  <si>
    <t>Sh</t>
  </si>
  <si>
    <t>Kenyan Shilling</t>
  </si>
  <si>
    <t>Kenya</t>
  </si>
  <si>
    <t>KGS</t>
  </si>
  <si>
    <t>Som</t>
  </si>
  <si>
    <t>Kyrgyzstan</t>
  </si>
  <si>
    <t>KHR</t>
  </si>
  <si>
    <t>៛</t>
  </si>
  <si>
    <t>Riel</t>
  </si>
  <si>
    <t>Cambodia</t>
  </si>
  <si>
    <t>KPW</t>
  </si>
  <si>
    <t>₩</t>
  </si>
  <si>
    <t>North Korean Won</t>
  </si>
  <si>
    <t>North Korea</t>
  </si>
  <si>
    <t>KRW</t>
  </si>
  <si>
    <t>South Korean Won</t>
  </si>
  <si>
    <t>South Korea</t>
  </si>
  <si>
    <t>KWD</t>
  </si>
  <si>
    <t>د.ك</t>
  </si>
  <si>
    <t>Kuwaiti Dinar</t>
  </si>
  <si>
    <t>Kuwait</t>
  </si>
  <si>
    <t>KYD</t>
  </si>
  <si>
    <t>Cayman Islands Dollar</t>
  </si>
  <si>
    <t>Cayman Islands</t>
  </si>
  <si>
    <t>KZT</t>
  </si>
  <si>
    <t>〒</t>
  </si>
  <si>
    <t>Tenge</t>
  </si>
  <si>
    <t>Kazakhstan</t>
  </si>
  <si>
    <t>LAK</t>
  </si>
  <si>
    <t>₭</t>
  </si>
  <si>
    <t>Kip</t>
  </si>
  <si>
    <t>Laos</t>
  </si>
  <si>
    <t>LBP</t>
  </si>
  <si>
    <t>ل.ل</t>
  </si>
  <si>
    <t>Lebanese Pound</t>
  </si>
  <si>
    <t>Lebanon</t>
  </si>
  <si>
    <t>LKR</t>
  </si>
  <si>
    <t>Rs</t>
  </si>
  <si>
    <t>Sri Lanka Rupee</t>
  </si>
  <si>
    <t>Sri Lanka</t>
  </si>
  <si>
    <t>LRD</t>
  </si>
  <si>
    <t>Liberian Dollar</t>
  </si>
  <si>
    <t>Liberia</t>
  </si>
  <si>
    <t>LSL</t>
  </si>
  <si>
    <t>Loti</t>
  </si>
  <si>
    <t>Lesotho</t>
  </si>
  <si>
    <t>LYD</t>
  </si>
  <si>
    <t>ل.د</t>
  </si>
  <si>
    <t>Libyan Dinar</t>
  </si>
  <si>
    <t>Libya</t>
  </si>
  <si>
    <t>MAD</t>
  </si>
  <si>
    <t>د.م.</t>
  </si>
  <si>
    <t>Moroccan Dirham</t>
  </si>
  <si>
    <t>Morocco</t>
  </si>
  <si>
    <t>MDL</t>
  </si>
  <si>
    <t>Moldovan Leu</t>
  </si>
  <si>
    <t>Moldova</t>
  </si>
  <si>
    <t>MGA</t>
  </si>
  <si>
    <t>Malagasy Ariary</t>
  </si>
  <si>
    <t>Madagascar</t>
  </si>
  <si>
    <t>MKD</t>
  </si>
  <si>
    <t>ден</t>
  </si>
  <si>
    <t>Denar</t>
  </si>
  <si>
    <t>Macedonia</t>
  </si>
  <si>
    <t>MMK</t>
  </si>
  <si>
    <t>K</t>
  </si>
  <si>
    <t>Kyat</t>
  </si>
  <si>
    <t>Myanmar (Burma)</t>
  </si>
  <si>
    <t>MNT</t>
  </si>
  <si>
    <t>₮</t>
  </si>
  <si>
    <t>Tugrik</t>
  </si>
  <si>
    <t>Mongolia</t>
  </si>
  <si>
    <t>MOP</t>
  </si>
  <si>
    <t>Pataca</t>
  </si>
  <si>
    <t>Macao</t>
  </si>
  <si>
    <t>MRU</t>
  </si>
  <si>
    <t>UM</t>
  </si>
  <si>
    <t>Ouguiya</t>
  </si>
  <si>
    <t>Mauritania</t>
  </si>
  <si>
    <t>MUR</t>
  </si>
  <si>
    <t>₨</t>
  </si>
  <si>
    <t>Mauritius Rupee</t>
  </si>
  <si>
    <t>Mauritius</t>
  </si>
  <si>
    <t>MVR</t>
  </si>
  <si>
    <t>ރ.</t>
  </si>
  <si>
    <t>Rufiyaa</t>
  </si>
  <si>
    <t>Maldives</t>
  </si>
  <si>
    <t>MWK</t>
  </si>
  <si>
    <t>MK</t>
  </si>
  <si>
    <t>Kwacha</t>
  </si>
  <si>
    <t>Malawi</t>
  </si>
  <si>
    <t>MXN</t>
  </si>
  <si>
    <t>Mexican Peso</t>
  </si>
  <si>
    <t>Mexico</t>
  </si>
  <si>
    <t>MYR</t>
  </si>
  <si>
    <t>RM</t>
  </si>
  <si>
    <t>Malaysian Ringgit</t>
  </si>
  <si>
    <t>Malaysia</t>
  </si>
  <si>
    <t>MZN</t>
  </si>
  <si>
    <t>MTn</t>
  </si>
  <si>
    <t>Metical</t>
  </si>
  <si>
    <t>Mozambique</t>
  </si>
  <si>
    <t>NAD</t>
  </si>
  <si>
    <t>Namibia Dollar</t>
  </si>
  <si>
    <t>Namibia</t>
  </si>
  <si>
    <t>NGN</t>
  </si>
  <si>
    <t>₦</t>
  </si>
  <si>
    <t>Naira</t>
  </si>
  <si>
    <t>Nigeria</t>
  </si>
  <si>
    <t>NIO</t>
  </si>
  <si>
    <t>C$</t>
  </si>
  <si>
    <t>Cordoba Oro</t>
  </si>
  <si>
    <t>Nicaragua</t>
  </si>
  <si>
    <t>NOK</t>
  </si>
  <si>
    <t>Norwegian Krone</t>
  </si>
  <si>
    <t>Norway</t>
  </si>
  <si>
    <t>NPR</t>
  </si>
  <si>
    <t>Nepalese Rupee</t>
  </si>
  <si>
    <t>Nepal</t>
  </si>
  <si>
    <t>NZD</t>
  </si>
  <si>
    <t>New Zealand Dollar</t>
  </si>
  <si>
    <t>Cook Islands</t>
  </si>
  <si>
    <t>New Zealand</t>
  </si>
  <si>
    <t>Niue</t>
  </si>
  <si>
    <t>Pitcairn Island</t>
  </si>
  <si>
    <t>OMR</t>
  </si>
  <si>
    <t>ر.ع.</t>
  </si>
  <si>
    <t>Rial Omani</t>
  </si>
  <si>
    <t>Oman</t>
  </si>
  <si>
    <t>PAB</t>
  </si>
  <si>
    <t>B/.</t>
  </si>
  <si>
    <t>Balboa</t>
  </si>
  <si>
    <t>Panama</t>
  </si>
  <si>
    <t>PEN</t>
  </si>
  <si>
    <t>S/.</t>
  </si>
  <si>
    <t>Nuevo Sol</t>
  </si>
  <si>
    <t>Peru</t>
  </si>
  <si>
    <t>PGK</t>
  </si>
  <si>
    <t>Kina</t>
  </si>
  <si>
    <t>Papua New Guinea</t>
  </si>
  <si>
    <t>PHP</t>
  </si>
  <si>
    <t>₱</t>
  </si>
  <si>
    <t>Philippine Peso</t>
  </si>
  <si>
    <t>Philippines</t>
  </si>
  <si>
    <t>PKR</t>
  </si>
  <si>
    <t>Pakistan Rupee</t>
  </si>
  <si>
    <t>Pakistan</t>
  </si>
  <si>
    <t>PLN</t>
  </si>
  <si>
    <t>zł</t>
  </si>
  <si>
    <t>PZloty</t>
  </si>
  <si>
    <t>Poland</t>
  </si>
  <si>
    <t>PYG</t>
  </si>
  <si>
    <t>₲</t>
  </si>
  <si>
    <t>Guarani</t>
  </si>
  <si>
    <t>Paraguay</t>
  </si>
  <si>
    <t>QAR</t>
  </si>
  <si>
    <t>ر.ق</t>
  </si>
  <si>
    <t>Qatari Rial</t>
  </si>
  <si>
    <t>Qatar</t>
  </si>
  <si>
    <t>RON</t>
  </si>
  <si>
    <t>Leu</t>
  </si>
  <si>
    <t>Romania</t>
  </si>
  <si>
    <t>RSD</t>
  </si>
  <si>
    <t>din</t>
  </si>
  <si>
    <t>Serbian Dinar</t>
  </si>
  <si>
    <t>Serbia</t>
  </si>
  <si>
    <t>RUB</t>
  </si>
  <si>
    <t>р.</t>
  </si>
  <si>
    <t>Russian Ruble</t>
  </si>
  <si>
    <t>Russia</t>
  </si>
  <si>
    <t>RWF</t>
  </si>
  <si>
    <t>Rwanda Franc</t>
  </si>
  <si>
    <t>Rwanda</t>
  </si>
  <si>
    <t>SAR</t>
  </si>
  <si>
    <t>ر.س</t>
  </si>
  <si>
    <t>Saudi Riyal</t>
  </si>
  <si>
    <t>Saudi Arabia</t>
  </si>
  <si>
    <t>SBD</t>
  </si>
  <si>
    <t>Solomon Islands Dollar</t>
  </si>
  <si>
    <t>Solomon Islands</t>
  </si>
  <si>
    <t>SCR</t>
  </si>
  <si>
    <t>Seychelles Rupee</t>
  </si>
  <si>
    <t>Seychelles</t>
  </si>
  <si>
    <t>SDG</t>
  </si>
  <si>
    <t>Sudanese Pound</t>
  </si>
  <si>
    <t>Sudan</t>
  </si>
  <si>
    <t>SEK</t>
  </si>
  <si>
    <t>Swedish Krona</t>
  </si>
  <si>
    <t>Sweden</t>
  </si>
  <si>
    <t>SGD</t>
  </si>
  <si>
    <t>Singapore Dollar</t>
  </si>
  <si>
    <t>SHP</t>
  </si>
  <si>
    <t>Saint Helena Pound</t>
  </si>
  <si>
    <t>Ascension Island</t>
  </si>
  <si>
    <t>Saint Helena</t>
  </si>
  <si>
    <t>Tristan da Cunha</t>
  </si>
  <si>
    <t>SLL</t>
  </si>
  <si>
    <t>Le</t>
  </si>
  <si>
    <t>Leone</t>
  </si>
  <si>
    <t>Sierra Leone</t>
  </si>
  <si>
    <t>SOS</t>
  </si>
  <si>
    <t>Somali Shilling</t>
  </si>
  <si>
    <t>Somalia</t>
  </si>
  <si>
    <t>SRD</t>
  </si>
  <si>
    <t>Suriname Dollar</t>
  </si>
  <si>
    <t>Suriname</t>
  </si>
  <si>
    <t>STN</t>
  </si>
  <si>
    <t>Db</t>
  </si>
  <si>
    <t>Dobra</t>
  </si>
  <si>
    <t>Sao Tome and Principe</t>
  </si>
  <si>
    <t>SYP</t>
  </si>
  <si>
    <t>ل.س</t>
  </si>
  <si>
    <t>Syrian Pound</t>
  </si>
  <si>
    <t>Syria</t>
  </si>
  <si>
    <t>SZL</t>
  </si>
  <si>
    <t>Lilangeni</t>
  </si>
  <si>
    <t>Swaziland</t>
  </si>
  <si>
    <t>THB</t>
  </si>
  <si>
    <t>฿</t>
  </si>
  <si>
    <t>Baht</t>
  </si>
  <si>
    <t>Thailand</t>
  </si>
  <si>
    <t>TJS</t>
  </si>
  <si>
    <t>ЅМ</t>
  </si>
  <si>
    <t>Somoni</t>
  </si>
  <si>
    <t>Tajikistan</t>
  </si>
  <si>
    <t>TMT</t>
  </si>
  <si>
    <t>m</t>
  </si>
  <si>
    <t>Manat</t>
  </si>
  <si>
    <t>Turkmenistan</t>
  </si>
  <si>
    <t>TND</t>
  </si>
  <si>
    <t>د.ت</t>
  </si>
  <si>
    <t>Tunisian Dinar</t>
  </si>
  <si>
    <t>Tunisia</t>
  </si>
  <si>
    <t>TOP</t>
  </si>
  <si>
    <t>T$</t>
  </si>
  <si>
    <t>Pa’anga</t>
  </si>
  <si>
    <t>Tonga</t>
  </si>
  <si>
    <t>TRY</t>
  </si>
  <si>
    <t>₤</t>
  </si>
  <si>
    <t>Turkish Lira</t>
  </si>
  <si>
    <t>North Cyprus</t>
  </si>
  <si>
    <t>Turkey</t>
  </si>
  <si>
    <t>TTD</t>
  </si>
  <si>
    <t>Trinidad and Tobago Dollar</t>
  </si>
  <si>
    <t>Trinidad and Tobago</t>
  </si>
  <si>
    <t>TWD</t>
  </si>
  <si>
    <t>Taiwan Dollar</t>
  </si>
  <si>
    <t>Taiwan</t>
  </si>
  <si>
    <t>TZS</t>
  </si>
  <si>
    <t>Tanzanian Shilling</t>
  </si>
  <si>
    <t>Tanzania</t>
  </si>
  <si>
    <t>UAH</t>
  </si>
  <si>
    <t>₴</t>
  </si>
  <si>
    <t>Hryvnia</t>
  </si>
  <si>
    <t>Ukraine</t>
  </si>
  <si>
    <t>UGX</t>
  </si>
  <si>
    <t>Uganda Shilling</t>
  </si>
  <si>
    <t>Uganda</t>
  </si>
  <si>
    <t>USD</t>
  </si>
  <si>
    <t>US Dollar</t>
  </si>
  <si>
    <t>American Samoa</t>
  </si>
  <si>
    <t>British Virgin Islands</t>
  </si>
  <si>
    <t>Guam</t>
  </si>
  <si>
    <t>Marshall Islands</t>
  </si>
  <si>
    <t>Micronesia</t>
  </si>
  <si>
    <t>Northern Mariana Islands</t>
  </si>
  <si>
    <t>Pacific Remote islands</t>
  </si>
  <si>
    <t>Palau</t>
  </si>
  <si>
    <t>Puerto Rico</t>
  </si>
  <si>
    <t>Turks and Caicos Islands</t>
  </si>
  <si>
    <t>United States of America</t>
  </si>
  <si>
    <t>US Virgin Islands</t>
  </si>
  <si>
    <t>UYU</t>
  </si>
  <si>
    <t>Peso Uruguayo</t>
  </si>
  <si>
    <t>Uruguay</t>
  </si>
  <si>
    <t>UZS</t>
  </si>
  <si>
    <t>Uzbekistan Sum</t>
  </si>
  <si>
    <t>Uzbekistan</t>
  </si>
  <si>
    <t>VEF</t>
  </si>
  <si>
    <t>Bs F</t>
  </si>
  <si>
    <t>Bolivar Fuerte</t>
  </si>
  <si>
    <t>Venezuela</t>
  </si>
  <si>
    <t>VND</t>
  </si>
  <si>
    <t>₫</t>
  </si>
  <si>
    <t>Dong</t>
  </si>
  <si>
    <t>Vietnam</t>
  </si>
  <si>
    <t>VUV</t>
  </si>
  <si>
    <t>Vt</t>
  </si>
  <si>
    <t>Vatu</t>
  </si>
  <si>
    <t>Vanuatu</t>
  </si>
  <si>
    <t>WST</t>
  </si>
  <si>
    <t>T</t>
  </si>
  <si>
    <t>Tala</t>
  </si>
  <si>
    <t>Samoa</t>
  </si>
  <si>
    <t>XAF</t>
  </si>
  <si>
    <t>CFA Franc BCEAO</t>
  </si>
  <si>
    <t>Benin</t>
  </si>
  <si>
    <t>Burkina Faso</t>
  </si>
  <si>
    <t>Cameroon</t>
  </si>
  <si>
    <t>Central African Republic</t>
  </si>
  <si>
    <t>Chad</t>
  </si>
  <si>
    <t>Congo (Brazzaville)</t>
  </si>
  <si>
    <t>Côte d'Ivoire</t>
  </si>
  <si>
    <t>Equatorial Guinea</t>
  </si>
  <si>
    <t>Gabon</t>
  </si>
  <si>
    <t>Guinea-Bissau</t>
  </si>
  <si>
    <t>Mali</t>
  </si>
  <si>
    <t>Niger</t>
  </si>
  <si>
    <t>Senegal</t>
  </si>
  <si>
    <t>Togo</t>
  </si>
  <si>
    <t>XCD</t>
  </si>
  <si>
    <t>East Caribbean Dollar</t>
  </si>
  <si>
    <t>Anguilla</t>
  </si>
  <si>
    <t>Antigua and Barbuda</t>
  </si>
  <si>
    <t>Dominica</t>
  </si>
  <si>
    <t>Grenada</t>
  </si>
  <si>
    <t>Montserrat</t>
  </si>
  <si>
    <t>Saint Kitts and Nevis</t>
  </si>
  <si>
    <t>Saint Lucia</t>
  </si>
  <si>
    <t>Saint Vincent and Grenadine</t>
  </si>
  <si>
    <t>XPF</t>
  </si>
  <si>
    <t>CFP Franc</t>
  </si>
  <si>
    <t>French Polynesia</t>
  </si>
  <si>
    <t>New Caledonia</t>
  </si>
  <si>
    <t>Wallis and Futuna</t>
  </si>
  <si>
    <t>YER</t>
  </si>
  <si>
    <t>Yemeni Rial</t>
  </si>
  <si>
    <t>Yemen</t>
  </si>
  <si>
    <t>ZAR</t>
  </si>
  <si>
    <t>R</t>
  </si>
  <si>
    <t>Rand</t>
  </si>
  <si>
    <t>South Africa</t>
  </si>
  <si>
    <t>ZMW</t>
  </si>
  <si>
    <t>ZK</t>
  </si>
  <si>
    <t>Zambian Kwacha</t>
  </si>
  <si>
    <t>Zambia</t>
  </si>
  <si>
    <t>ZWL</t>
  </si>
  <si>
    <t>Zimbabwe Dollar</t>
  </si>
  <si>
    <t>Zimbabwe</t>
  </si>
  <si>
    <t>Currences:</t>
  </si>
  <si>
    <t>Ability to meet short term opligations with cash only</t>
  </si>
  <si>
    <t>Cash Ratio</t>
  </si>
  <si>
    <t>Other Comparables:</t>
  </si>
  <si>
    <t>Company Figures:</t>
  </si>
  <si>
    <t>lower is better</t>
  </si>
  <si>
    <t>higher is better</t>
  </si>
  <si>
    <t>depends on growth stage</t>
  </si>
  <si>
    <t>depends on relation between financing long term needs with long term debts &amp; short term needs with short term debts, near to matching them is healther</t>
  </si>
  <si>
    <t>depends on the stage of the company</t>
  </si>
  <si>
    <t>Comparable figures:</t>
  </si>
  <si>
    <t>Interest exp. new calculated</t>
  </si>
  <si>
    <t>interest rate on STD</t>
  </si>
  <si>
    <t>AutoCalculated</t>
  </si>
  <si>
    <t>NPBT</t>
  </si>
  <si>
    <t xml:space="preserve">Net Recevables </t>
  </si>
  <si>
    <t>OR</t>
  </si>
  <si>
    <t xml:space="preserve">Total Current Assets </t>
  </si>
  <si>
    <t xml:space="preserve">Total Assets </t>
  </si>
  <si>
    <t>Total Current Liability</t>
  </si>
  <si>
    <t>Total long Term Debt</t>
  </si>
  <si>
    <t>Total liabilites</t>
  </si>
  <si>
    <t>Total liabilites &amp; Equity</t>
  </si>
  <si>
    <t>ability to add items</t>
  </si>
  <si>
    <t xml:space="preserve">A full year budget will done first then breking it down to weekly monthly quarterly </t>
  </si>
  <si>
    <t>this part is setted from Budget sheet</t>
  </si>
  <si>
    <t>Budget</t>
  </si>
  <si>
    <t>Progress</t>
  </si>
  <si>
    <t>Breakdown of each year could be inserted to be used as comparable</t>
  </si>
  <si>
    <t>Historical Choose</t>
  </si>
  <si>
    <t>Items could be inserted more than one time and name is editable but it’s a pool that fill the same field</t>
  </si>
  <si>
    <t xml:space="preserve">Base case </t>
  </si>
  <si>
    <t>Progress %</t>
  </si>
  <si>
    <t xml:space="preserve">Client Notes that will be saved </t>
  </si>
  <si>
    <t>All costs related to unit</t>
  </si>
  <si>
    <t>auto calculated</t>
  </si>
  <si>
    <t>User input</t>
  </si>
  <si>
    <t>+ 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</si>
</sst>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[$-409]mmm\-yy;@"/>
    <numFmt numFmtId="166" formatCode="0_)"/>
    <numFmt numFmtId="167" formatCode="0.0"/>
    <numFmt numFmtId="168" formatCode="0.0%"/>
    <numFmt numFmtId="169" formatCode="_(* #,##0_);_(* \(#,##0\);_(* &quot;-&quot;??_);_(@_)"/>
    <numFmt numFmtId="170" formatCode="\+;\-;"/>
    <numFmt numFmtId="171" formatCode="0.0000"/>
    <numFmt numFmtId="172" formatCode="_(* #,##0.0_);_(* \(#,##0.0\);_(* &quot;-&quot;??_);_(@_)"/>
    <numFmt numFmtId="173" formatCode="_(* #,##0.000_);_(* \(#,##0.000\);_(* &quot;-&quot;??_);_(@_)"/>
    <numFmt numFmtId="174" formatCode="[$-1010000]d/m/yyyy;@"/>
    <numFmt numFmtId="175" formatCode="0_);\(0\)"/>
    <numFmt numFmtId="176" formatCode="0.00_);\(0.00\)"/>
    <numFmt numFmtId="177" formatCode="0.000%"/>
    <numFmt numFmtId="178" formatCode="_(* #,##0.00\ \x_);_(* \(#,##0.00\ \x\);_(* &quot;-&quot;??_);_(@_)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7"/>
      <name val="Arial"/>
      <family val="2"/>
    </font>
    <font>
      <b/>
      <sz val="8"/>
      <name val="Arial"/>
      <family val="2"/>
    </font>
    <font>
      <sz val="10"/>
      <color indexed="21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9"/>
      <name val="Arial"/>
      <family val="2"/>
    </font>
    <font>
      <sz val="9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6"/>
      <name val="Arial"/>
      <family val="2"/>
    </font>
    <font>
      <b/>
      <sz val="2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b/>
      <sz val="8"/>
      <color rgb="FF00B050"/>
      <name val="Arial"/>
      <family val="2"/>
    </font>
    <font>
      <b/>
      <sz val="8"/>
      <color rgb="FF009900"/>
      <name val="Arial"/>
      <family val="2"/>
    </font>
    <font>
      <sz val="8"/>
      <color rgb="FF009900"/>
      <name val="Arial"/>
      <family val="2"/>
    </font>
    <font>
      <b/>
      <sz val="9"/>
      <color rgb="FF00B050"/>
      <name val="Arial"/>
      <family val="2"/>
    </font>
    <font>
      <sz val="8"/>
      <color rgb="FF00B05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b/>
      <sz val="11"/>
      <color rgb="FF00B050"/>
      <name val="Calibri"/>
      <family val="2"/>
      <scheme val="minor"/>
    </font>
    <font>
      <sz val="10"/>
      <name val="Times New Roman"/>
      <family val="1"/>
      <charset val="178"/>
    </font>
    <font>
      <b/>
      <sz val="10"/>
      <name val="Times New Roman"/>
      <family val="1"/>
      <charset val="178"/>
    </font>
    <font>
      <b/>
      <sz val="10"/>
      <color indexed="12"/>
      <name val="Times New Roman"/>
      <family val="1"/>
      <charset val="178"/>
    </font>
    <font>
      <sz val="10"/>
      <color indexed="12"/>
      <name val="Times New Roman"/>
      <family val="1"/>
      <charset val="178"/>
    </font>
    <font>
      <sz val="12"/>
      <name val="Times New Roman"/>
      <family val="1"/>
    </font>
    <font>
      <b/>
      <sz val="10"/>
      <color rgb="FF00B050"/>
      <name val="Times New Roman"/>
      <family val="1"/>
    </font>
    <font>
      <b/>
      <sz val="10"/>
      <color rgb="FF009900"/>
      <name val="Times New Roman"/>
      <family val="1"/>
    </font>
    <font>
      <b/>
      <sz val="8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u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7"/>
      <color rgb="FF323A45"/>
      <name val="Arial"/>
      <family val="2"/>
    </font>
    <font>
      <sz val="7"/>
      <color rgb="FF525C69"/>
      <name val="Arial"/>
      <family val="2"/>
    </font>
    <font>
      <sz val="7"/>
      <color rgb="FF252525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0099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CEAF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D15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7EAEE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/>
      <right style="thin">
        <color theme="0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/>
      <top style="slantDashDot">
        <color indexed="64"/>
      </top>
      <bottom/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/>
      <diagonal/>
    </border>
    <border>
      <left style="thin">
        <color indexed="64"/>
      </left>
      <right style="slantDashDot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slantDashDot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slantDashDot">
        <color indexed="64"/>
      </right>
      <top/>
      <bottom/>
      <diagonal/>
    </border>
    <border>
      <left style="thin">
        <color theme="0"/>
      </left>
      <right style="slantDashDot">
        <color indexed="64"/>
      </right>
      <top/>
      <bottom style="thin">
        <color theme="0"/>
      </bottom>
      <diagonal/>
    </border>
    <border>
      <left/>
      <right style="slantDashDot">
        <color indexed="64"/>
      </right>
      <top style="thin">
        <color theme="0" tint="-0.249977111117893"/>
      </top>
      <bottom/>
      <diagonal/>
    </border>
    <border>
      <left/>
      <right style="slantDashDot">
        <color indexed="64"/>
      </right>
      <top style="thin">
        <color theme="0" tint="-0.249977111117893"/>
      </top>
      <bottom style="slantDashDot">
        <color indexed="64"/>
      </bottom>
      <diagonal/>
    </border>
    <border>
      <left/>
      <right/>
      <top style="thin">
        <color theme="0" tint="-0.249977111117893"/>
      </top>
      <bottom style="slantDashDot">
        <color indexed="64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slantDashDot">
        <color indexed="64"/>
      </left>
      <right/>
      <top/>
      <bottom/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/>
      <diagonal/>
    </border>
    <border>
      <left style="slantDashDot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slantDashDot">
        <color indexed="64"/>
      </left>
      <right style="thin">
        <color theme="0"/>
      </right>
      <top/>
      <bottom/>
      <diagonal/>
    </border>
    <border>
      <left style="slantDashDot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slantDashDot">
        <color indexed="64"/>
      </bottom>
      <diagonal/>
    </border>
    <border>
      <left style="thin">
        <color theme="0" tint="-0.249977111117893"/>
      </left>
      <right style="slantDashDot">
        <color indexed="64"/>
      </right>
      <top style="thin">
        <color theme="0" tint="-0.249977111117893"/>
      </top>
      <bottom style="slantDashDot">
        <color indexed="64"/>
      </bottom>
      <diagonal/>
    </border>
    <border>
      <left style="thin">
        <color theme="0"/>
      </left>
      <right style="slantDashDot">
        <color indexed="64"/>
      </right>
      <top style="thin">
        <color theme="0" tint="-0.249977111117893"/>
      </top>
      <bottom/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thin">
        <color theme="0" tint="-0.249977111117893"/>
      </bottom>
      <diagonal/>
    </border>
    <border>
      <left style="slantDashDot">
        <color indexed="64"/>
      </left>
      <right style="slantDashDot">
        <color indexed="64"/>
      </right>
      <top/>
      <bottom style="thin">
        <color theme="0" tint="-0.249977111117893"/>
      </bottom>
      <diagonal/>
    </border>
    <border>
      <left style="slantDashDot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indexed="2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/>
      <diagonal/>
    </border>
    <border>
      <left style="thin">
        <color theme="0" tint="-0.249977111117893"/>
      </left>
      <right/>
      <top style="slantDashDot">
        <color indexed="64"/>
      </top>
      <bottom/>
      <diagonal/>
    </border>
    <border>
      <left style="thin">
        <color theme="0" tint="-0.249977111117893"/>
      </left>
      <right style="slantDashDot">
        <color indexed="64"/>
      </right>
      <top style="slantDashDot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slantDashDot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slantDashDot">
        <color indexed="64"/>
      </right>
      <top/>
      <bottom style="slantDashDot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rgb="FFE0E0DE"/>
      </left>
      <right style="medium">
        <color rgb="FFE0E0DE"/>
      </right>
      <top style="medium">
        <color rgb="FFE0E0DE"/>
      </top>
      <bottom style="medium">
        <color rgb="FFE0E0DE"/>
      </bottom>
      <diagonal/>
    </border>
    <border>
      <left style="medium">
        <color rgb="FFE0E0DE"/>
      </left>
      <right style="medium">
        <color rgb="FFE0E0DE"/>
      </right>
      <top style="dotted">
        <color rgb="FFE0E0DE"/>
      </top>
      <bottom/>
      <diagonal/>
    </border>
    <border>
      <left style="medium">
        <color rgb="FFE0E0DE"/>
      </left>
      <right style="medium">
        <color rgb="FFE0E0DE"/>
      </right>
      <top/>
      <bottom/>
      <diagonal/>
    </border>
    <border>
      <left style="medium">
        <color rgb="FFE0E0DE"/>
      </left>
      <right style="medium">
        <color rgb="FFE0E0DE"/>
      </right>
      <top style="dotted">
        <color rgb="FFE0E0DE"/>
      </top>
      <bottom style="medium">
        <color rgb="FFE0E0DE"/>
      </bottom>
      <diagonal/>
    </border>
    <border>
      <left style="medium">
        <color rgb="FFE0E0DE"/>
      </left>
      <right style="medium">
        <color rgb="FFE0E0DE"/>
      </right>
      <top/>
      <bottom style="dotted">
        <color rgb="FFE0E0DE"/>
      </bottom>
      <diagonal/>
    </border>
  </borders>
  <cellStyleXfs count="2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0" fillId="0" borderId="0"/>
    <xf numFmtId="0" fontId="54" fillId="0" borderId="0"/>
    <xf numFmtId="43" fontId="60" fillId="0" borderId="0" applyFont="0" applyFill="0" applyBorder="0" applyAlignment="0" applyProtection="0"/>
    <xf numFmtId="0" fontId="64" fillId="0" borderId="0"/>
    <xf numFmtId="9" fontId="6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72" fillId="0" borderId="0" applyNumberFormat="0" applyFill="0" applyBorder="0" applyAlignment="0" applyProtection="0"/>
  </cellStyleXfs>
  <cellXfs count="909">
    <xf numFmtId="0" fontId="0" fillId="0" borderId="0" xfId="0"/>
    <xf numFmtId="0" fontId="7" fillId="0" borderId="0" xfId="0" applyNumberFormat="1" applyFont="1" applyFill="1" applyBorder="1" applyAlignment="1" applyProtection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left"/>
    </xf>
    <xf numFmtId="0" fontId="8" fillId="0" borderId="0" xfId="0" applyNumberFormat="1" applyFont="1" applyBorder="1" applyProtection="1"/>
    <xf numFmtId="0" fontId="8" fillId="0" borderId="0" xfId="0" applyFont="1" applyBorder="1" applyAlignment="1" applyProtection="1">
      <alignment horizontal="left" readingOrder="1"/>
    </xf>
    <xf numFmtId="0" fontId="7" fillId="0" borderId="0" xfId="0" applyFont="1" applyBorder="1" applyProtection="1"/>
    <xf numFmtId="0" fontId="7" fillId="0" borderId="0" xfId="0" applyFont="1" applyBorder="1"/>
    <xf numFmtId="0" fontId="8" fillId="0" borderId="0" xfId="0" applyFont="1" applyFill="1" applyBorder="1" applyProtection="1"/>
    <xf numFmtId="0" fontId="8" fillId="0" borderId="0" xfId="0" applyFont="1" applyBorder="1" applyProtection="1"/>
    <xf numFmtId="0" fontId="8" fillId="0" borderId="0" xfId="0" applyFont="1" applyAlignment="1" applyProtection="1">
      <alignment horizontal="center"/>
    </xf>
    <xf numFmtId="0" fontId="0" fillId="0" borderId="0" xfId="0" applyBorder="1"/>
    <xf numFmtId="0" fontId="8" fillId="0" borderId="0" xfId="0" applyFont="1" applyFill="1" applyBorder="1" applyAlignment="1" applyProtection="1">
      <alignment horizontal="center"/>
    </xf>
    <xf numFmtId="0" fontId="6" fillId="0" borderId="0" xfId="0" applyFont="1" applyFill="1" applyBorder="1"/>
    <xf numFmtId="0" fontId="0" fillId="0" borderId="0" xfId="0" applyFill="1" applyBorder="1"/>
    <xf numFmtId="0" fontId="0" fillId="0" borderId="0" xfId="0" applyAlignment="1" applyProtection="1">
      <alignment horizontal="left"/>
    </xf>
    <xf numFmtId="0" fontId="7" fillId="0" borderId="0" xfId="0" applyFont="1" applyFill="1" applyBorder="1" applyAlignment="1">
      <alignment horizontal="right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9" fontId="8" fillId="0" borderId="0" xfId="2" applyFont="1" applyBorder="1" applyAlignment="1" applyProtection="1">
      <alignment horizontal="center"/>
    </xf>
    <xf numFmtId="0" fontId="7" fillId="3" borderId="0" xfId="0" applyFont="1" applyFill="1" applyBorder="1" applyAlignment="1">
      <alignment horizontal="center" wrapText="1"/>
    </xf>
    <xf numFmtId="0" fontId="8" fillId="0" borderId="0" xfId="0" applyFont="1" applyFill="1" applyBorder="1"/>
    <xf numFmtId="0" fontId="7" fillId="3" borderId="0" xfId="0" applyFont="1" applyFill="1" applyBorder="1" applyAlignment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0" fillId="0" borderId="0" xfId="0" applyFill="1"/>
    <xf numFmtId="0" fontId="7" fillId="0" borderId="0" xfId="0" applyFont="1" applyFill="1" applyBorder="1" applyAlignment="1" applyProtection="1">
      <alignment horizontal="center"/>
    </xf>
    <xf numFmtId="0" fontId="6" fillId="0" borderId="0" xfId="0" applyFont="1"/>
    <xf numFmtId="0" fontId="0" fillId="0" borderId="0" xfId="0" applyBorder="1" applyProtection="1"/>
    <xf numFmtId="0" fontId="6" fillId="0" borderId="0" xfId="0" applyFont="1" applyBorder="1"/>
    <xf numFmtId="0" fontId="6" fillId="3" borderId="0" xfId="0" applyFont="1" applyFill="1" applyBorder="1"/>
    <xf numFmtId="0" fontId="7" fillId="0" borderId="0" xfId="0" applyFont="1" applyProtection="1"/>
    <xf numFmtId="0" fontId="0" fillId="0" borderId="0" xfId="0" applyProtection="1">
      <protection locked="0"/>
    </xf>
    <xf numFmtId="0" fontId="11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 wrapText="1"/>
    </xf>
    <xf numFmtId="0" fontId="7" fillId="3" borderId="0" xfId="0" applyFont="1" applyFill="1" applyBorder="1" applyAlignment="1" applyProtection="1">
      <alignment horizontal="left" vertical="top" wrapText="1" readingOrder="1"/>
    </xf>
    <xf numFmtId="0" fontId="7" fillId="3" borderId="0" xfId="0" applyFont="1" applyFill="1" applyBorder="1" applyAlignment="1" applyProtection="1">
      <alignment horizontal="left" vertical="top" readingOrder="1"/>
    </xf>
    <xf numFmtId="0" fontId="0" fillId="3" borderId="0" xfId="0" applyFill="1" applyBorder="1" applyAlignment="1" applyProtection="1">
      <alignment horizontal="left"/>
    </xf>
    <xf numFmtId="0" fontId="0" fillId="3" borderId="0" xfId="0" applyFill="1" applyBorder="1"/>
    <xf numFmtId="0" fontId="7" fillId="0" borderId="0" xfId="0" applyFont="1" applyBorder="1" applyAlignment="1" applyProtection="1">
      <alignment horizontal="center" vertical="center" wrapText="1" readingOrder="1"/>
    </xf>
    <xf numFmtId="0" fontId="8" fillId="0" borderId="0" xfId="0" applyFont="1" applyFill="1" applyBorder="1" applyAlignment="1" applyProtection="1">
      <alignment vertical="center" readingOrder="1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 applyProtection="1">
      <alignment horizontal="center"/>
    </xf>
    <xf numFmtId="0" fontId="27" fillId="0" borderId="0" xfId="0" applyFont="1" applyAlignment="1">
      <alignment wrapText="1"/>
    </xf>
    <xf numFmtId="0" fontId="6" fillId="0" borderId="0" xfId="0" applyFont="1" applyBorder="1" applyAlignment="1" applyProtection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7" fillId="3" borderId="0" xfId="0" applyFont="1" applyFill="1" applyBorder="1"/>
    <xf numFmtId="170" fontId="6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9" fontId="8" fillId="0" borderId="0" xfId="2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Border="1"/>
    <xf numFmtId="0" fontId="8" fillId="3" borderId="0" xfId="0" applyFont="1" applyFill="1" applyBorder="1" applyAlignment="1" applyProtection="1">
      <alignment horizontal="left"/>
    </xf>
    <xf numFmtId="167" fontId="8" fillId="0" borderId="0" xfId="2" applyNumberFormat="1" applyFont="1" applyBorder="1" applyAlignment="1" applyProtection="1">
      <alignment horizontal="center" vertical="top" wrapText="1" readingOrder="1"/>
    </xf>
    <xf numFmtId="167" fontId="8" fillId="0" borderId="0" xfId="2" applyNumberFormat="1" applyFont="1" applyBorder="1" applyAlignment="1" applyProtection="1">
      <alignment horizontal="center"/>
    </xf>
    <xf numFmtId="167" fontId="8" fillId="0" borderId="0" xfId="2" applyNumberFormat="1" applyFont="1" applyBorder="1" applyAlignment="1">
      <alignment horizontal="center"/>
    </xf>
    <xf numFmtId="0" fontId="7" fillId="3" borderId="0" xfId="0" applyFont="1" applyFill="1" applyBorder="1" applyAlignment="1" applyProtection="1">
      <alignment horizontal="center" vertical="top" wrapText="1" readingOrder="1"/>
    </xf>
    <xf numFmtId="0" fontId="8" fillId="3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vertical="top" wrapText="1" readingOrder="1"/>
    </xf>
    <xf numFmtId="0" fontId="7" fillId="3" borderId="0" xfId="0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11" fillId="0" borderId="0" xfId="0" applyFont="1" applyFill="1" applyBorder="1" applyAlignment="1">
      <alignment horizontal="left"/>
    </xf>
    <xf numFmtId="0" fontId="0" fillId="3" borderId="0" xfId="0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11" fontId="8" fillId="0" borderId="0" xfId="2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readingOrder="1"/>
    </xf>
    <xf numFmtId="0" fontId="8" fillId="0" borderId="0" xfId="0" applyFont="1" applyFill="1" applyBorder="1" applyAlignment="1">
      <alignment horizontal="center" readingOrder="1"/>
    </xf>
    <xf numFmtId="9" fontId="8" fillId="0" borderId="0" xfId="2" applyFont="1" applyFill="1" applyBorder="1" applyAlignment="1">
      <alignment horizontal="center" wrapText="1"/>
    </xf>
    <xf numFmtId="9" fontId="8" fillId="0" borderId="0" xfId="2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horizontal="center"/>
    </xf>
    <xf numFmtId="0" fontId="8" fillId="0" borderId="0" xfId="0" applyFont="1" applyFill="1" applyBorder="1" applyAlignment="1" applyProtection="1">
      <alignment horizontal="center" vertical="top" wrapText="1" readingOrder="1"/>
    </xf>
    <xf numFmtId="9" fontId="8" fillId="0" borderId="0" xfId="0" applyNumberFormat="1" applyFont="1" applyFill="1" applyBorder="1" applyAlignment="1" applyProtection="1">
      <alignment horizontal="center" vertical="top" wrapText="1" readingOrder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 applyProtection="1">
      <alignment horizontal="center"/>
    </xf>
    <xf numFmtId="0" fontId="29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wrapText="1"/>
    </xf>
    <xf numFmtId="0" fontId="28" fillId="0" borderId="0" xfId="0" applyFont="1" applyFill="1" applyBorder="1" applyAlignment="1" applyProtection="1">
      <alignment horizontal="left"/>
    </xf>
    <xf numFmtId="2" fontId="0" fillId="0" borderId="0" xfId="0" applyNumberFormat="1" applyAlignment="1">
      <alignment horizontal="center"/>
    </xf>
    <xf numFmtId="0" fontId="28" fillId="0" borderId="0" xfId="2" applyNumberFormat="1" applyFont="1" applyFill="1" applyBorder="1" applyAlignment="1">
      <alignment horizontal="center" wrapText="1"/>
    </xf>
    <xf numFmtId="0" fontId="28" fillId="0" borderId="0" xfId="2" applyNumberFormat="1" applyFont="1" applyFill="1" applyBorder="1" applyAlignment="1">
      <alignment horizontal="center"/>
    </xf>
    <xf numFmtId="0" fontId="28" fillId="0" borderId="0" xfId="2" applyNumberFormat="1" applyFont="1" applyFill="1" applyBorder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0" fontId="28" fillId="0" borderId="0" xfId="0" applyNumberFormat="1" applyFont="1" applyFill="1" applyBorder="1" applyAlignment="1" applyProtection="1">
      <alignment horizontal="center" vertical="top" wrapText="1" readingOrder="1"/>
    </xf>
    <xf numFmtId="0" fontId="28" fillId="0" borderId="0" xfId="0" applyNumberFormat="1" applyFont="1" applyFill="1" applyBorder="1" applyAlignment="1" applyProtection="1">
      <alignment horizontal="center"/>
    </xf>
    <xf numFmtId="0" fontId="28" fillId="0" borderId="0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wrapText="1"/>
    </xf>
    <xf numFmtId="0" fontId="28" fillId="0" borderId="0" xfId="0" applyNumberFormat="1" applyFont="1" applyFill="1" applyBorder="1"/>
    <xf numFmtId="0" fontId="28" fillId="0" borderId="0" xfId="0" applyNumberFormat="1" applyFont="1" applyFill="1" applyBorder="1" applyAlignment="1" applyProtection="1">
      <alignment horizontal="left"/>
    </xf>
    <xf numFmtId="0" fontId="29" fillId="0" borderId="0" xfId="0" applyNumberFormat="1" applyFont="1" applyFill="1" applyBorder="1" applyAlignment="1" applyProtection="1">
      <alignment horizontal="center" vertical="top" wrapText="1" readingOrder="1"/>
    </xf>
    <xf numFmtId="11" fontId="8" fillId="3" borderId="0" xfId="2" applyNumberFormat="1" applyFont="1" applyFill="1" applyBorder="1" applyAlignment="1">
      <alignment horizontal="center" wrapText="1"/>
    </xf>
    <xf numFmtId="2" fontId="0" fillId="3" borderId="0" xfId="0" applyNumberFormat="1" applyFill="1"/>
    <xf numFmtId="11" fontId="28" fillId="0" borderId="0" xfId="2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 applyProtection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left"/>
    </xf>
    <xf numFmtId="39" fontId="8" fillId="0" borderId="0" xfId="1" applyNumberFormat="1" applyFont="1" applyFill="1" applyBorder="1" applyAlignment="1" applyProtection="1">
      <alignment horizontal="center" vertical="center"/>
    </xf>
    <xf numFmtId="39" fontId="8" fillId="0" borderId="0" xfId="1" applyNumberFormat="1" applyFont="1" applyFill="1" applyBorder="1" applyAlignment="1" applyProtection="1">
      <alignment horizontal="center"/>
    </xf>
    <xf numFmtId="43" fontId="8" fillId="0" borderId="0" xfId="1" applyFont="1" applyFill="1" applyBorder="1" applyAlignment="1" applyProtection="1">
      <alignment horizontal="center" readingOrder="1"/>
    </xf>
    <xf numFmtId="0" fontId="21" fillId="0" borderId="0" xfId="0" applyFont="1" applyFill="1" applyBorder="1" applyAlignment="1" applyProtection="1">
      <alignment horizontal="center"/>
    </xf>
    <xf numFmtId="0" fontId="14" fillId="3" borderId="0" xfId="0" applyFont="1" applyFill="1" applyBorder="1" applyAlignment="1" applyProtection="1">
      <alignment horizontal="center"/>
    </xf>
    <xf numFmtId="37" fontId="25" fillId="0" borderId="0" xfId="0" applyNumberFormat="1" applyFont="1" applyFill="1" applyBorder="1" applyAlignment="1" applyProtection="1">
      <alignment horizontal="left" vertical="center" indent="1"/>
    </xf>
    <xf numFmtId="37" fontId="25" fillId="0" borderId="0" xfId="0" applyNumberFormat="1" applyFont="1" applyFill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vertical="center"/>
    </xf>
    <xf numFmtId="0" fontId="7" fillId="3" borderId="0" xfId="0" applyFont="1" applyFill="1" applyAlignment="1">
      <alignment horizontal="left"/>
    </xf>
    <xf numFmtId="0" fontId="7" fillId="0" borderId="0" xfId="0" applyFont="1" applyFill="1" applyBorder="1"/>
    <xf numFmtId="37" fontId="0" fillId="0" borderId="0" xfId="0" applyNumberFormat="1"/>
    <xf numFmtId="0" fontId="7" fillId="3" borderId="0" xfId="0" applyFont="1" applyFill="1"/>
    <xf numFmtId="1" fontId="0" fillId="0" borderId="0" xfId="0" applyNumberForma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wrapText="1"/>
    </xf>
    <xf numFmtId="0" fontId="8" fillId="0" borderId="0" xfId="0" applyFont="1" applyFill="1" applyBorder="1" applyAlignment="1" applyProtection="1">
      <alignment horizontal="left" vertical="top" readingOrder="1"/>
    </xf>
    <xf numFmtId="0" fontId="7" fillId="0" borderId="0" xfId="0" applyFont="1" applyFill="1" applyBorder="1" applyAlignment="1" applyProtection="1">
      <alignment horizontal="center" vertical="center" wrapText="1" readingOrder="1"/>
    </xf>
    <xf numFmtId="0" fontId="27" fillId="0" borderId="0" xfId="0" applyFont="1" applyFill="1" applyBorder="1" applyAlignment="1">
      <alignment wrapText="1"/>
    </xf>
    <xf numFmtId="0" fontId="7" fillId="3" borderId="0" xfId="0" applyFont="1" applyFill="1" applyBorder="1" applyAlignment="1" applyProtection="1">
      <alignment horizontal="center" wrapText="1"/>
    </xf>
    <xf numFmtId="0" fontId="7" fillId="3" borderId="0" xfId="0" applyFont="1" applyFill="1" applyBorder="1" applyAlignment="1" applyProtection="1">
      <alignment horizontal="center" vertical="top" readingOrder="1"/>
    </xf>
    <xf numFmtId="0" fontId="8" fillId="0" borderId="0" xfId="0" applyNumberFormat="1" applyFont="1" applyBorder="1" applyAlignment="1" applyProtection="1">
      <alignment horizontal="left"/>
    </xf>
    <xf numFmtId="0" fontId="7" fillId="0" borderId="0" xfId="0" applyNumberFormat="1" applyFont="1" applyBorder="1" applyAlignment="1" applyProtection="1">
      <alignment horizontal="left"/>
    </xf>
    <xf numFmtId="49" fontId="7" fillId="0" borderId="0" xfId="0" applyNumberFormat="1" applyFont="1" applyBorder="1" applyAlignment="1" applyProtection="1">
      <alignment horizontal="left"/>
    </xf>
    <xf numFmtId="0" fontId="18" fillId="0" borderId="0" xfId="0" applyNumberFormat="1" applyFont="1" applyBorder="1" applyAlignment="1" applyProtection="1">
      <alignment horizontal="left"/>
    </xf>
    <xf numFmtId="0" fontId="17" fillId="0" borderId="0" xfId="0" applyNumberFormat="1" applyFont="1" applyBorder="1" applyAlignment="1" applyProtection="1">
      <alignment horizontal="left"/>
    </xf>
    <xf numFmtId="49" fontId="8" fillId="0" borderId="0" xfId="0" applyNumberFormat="1" applyFont="1" applyBorder="1" applyAlignment="1" applyProtection="1">
      <alignment horizontal="left"/>
    </xf>
    <xf numFmtId="0" fontId="17" fillId="0" borderId="0" xfId="0" applyNumberFormat="1" applyFont="1" applyBorder="1" applyProtection="1"/>
    <xf numFmtId="167" fontId="0" fillId="0" borderId="0" xfId="0" applyNumberFormat="1"/>
    <xf numFmtId="167" fontId="0" fillId="0" borderId="0" xfId="0" applyNumberFormat="1" applyBorder="1"/>
    <xf numFmtId="167" fontId="8" fillId="0" borderId="0" xfId="2" applyNumberFormat="1" applyFont="1" applyBorder="1" applyAlignment="1">
      <alignment horizontal="center" readingOrder="1"/>
    </xf>
    <xf numFmtId="167" fontId="8" fillId="0" borderId="0" xfId="2" applyNumberFormat="1" applyFont="1" applyBorder="1" applyAlignment="1" applyProtection="1">
      <alignment horizontal="center" readingOrder="1"/>
    </xf>
    <xf numFmtId="167" fontId="8" fillId="0" borderId="0" xfId="0" applyNumberFormat="1" applyFont="1" applyFill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167" fontId="8" fillId="0" borderId="0" xfId="0" applyNumberFormat="1" applyFont="1" applyBorder="1" applyAlignment="1" applyProtection="1">
      <alignment horizontal="center"/>
    </xf>
    <xf numFmtId="167" fontId="7" fillId="3" borderId="0" xfId="0" applyNumberFormat="1" applyFont="1" applyFill="1" applyBorder="1"/>
    <xf numFmtId="167" fontId="8" fillId="3" borderId="0" xfId="0" applyNumberFormat="1" applyFont="1" applyFill="1" applyBorder="1"/>
    <xf numFmtId="167" fontId="8" fillId="3" borderId="0" xfId="0" applyNumberFormat="1" applyFont="1" applyFill="1" applyBorder="1" applyAlignment="1" applyProtection="1">
      <alignment horizontal="left"/>
    </xf>
    <xf numFmtId="167" fontId="8" fillId="0" borderId="0" xfId="0" applyNumberFormat="1" applyFont="1" applyFill="1" applyBorder="1"/>
    <xf numFmtId="167" fontId="7" fillId="3" borderId="0" xfId="0" applyNumberFormat="1" applyFont="1" applyFill="1" applyBorder="1" applyAlignment="1" applyProtection="1">
      <alignment horizontal="center" vertical="top" wrapText="1" readingOrder="1"/>
    </xf>
    <xf numFmtId="167" fontId="8" fillId="3" borderId="0" xfId="0" applyNumberFormat="1" applyFont="1" applyFill="1" applyBorder="1" applyAlignment="1" applyProtection="1">
      <alignment horizontal="center" vertical="top" wrapText="1" readingOrder="1"/>
    </xf>
    <xf numFmtId="167" fontId="8" fillId="3" borderId="0" xfId="0" applyNumberFormat="1" applyFont="1" applyFill="1" applyBorder="1" applyAlignment="1" applyProtection="1">
      <alignment horizontal="center"/>
    </xf>
    <xf numFmtId="167" fontId="8" fillId="3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 applyProtection="1">
      <alignment horizontal="center" vertical="top" wrapText="1" readingOrder="1"/>
    </xf>
    <xf numFmtId="167" fontId="8" fillId="0" borderId="0" xfId="0" applyNumberFormat="1" applyFont="1" applyBorder="1" applyAlignment="1" applyProtection="1">
      <alignment horizontal="center" vertical="top" wrapText="1" readingOrder="1"/>
    </xf>
    <xf numFmtId="1" fontId="0" fillId="0" borderId="0" xfId="0" applyNumberFormat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171" fontId="8" fillId="0" borderId="0" xfId="2" applyNumberFormat="1" applyFont="1" applyBorder="1" applyAlignment="1">
      <alignment horizontal="center" wrapText="1"/>
    </xf>
    <xf numFmtId="171" fontId="8" fillId="0" borderId="0" xfId="0" applyNumberFormat="1" applyFont="1" applyBorder="1" applyAlignment="1">
      <alignment horizontal="center" readingOrder="1"/>
    </xf>
    <xf numFmtId="171" fontId="8" fillId="3" borderId="0" xfId="0" applyNumberFormat="1" applyFont="1" applyFill="1" applyBorder="1" applyAlignment="1">
      <alignment wrapText="1"/>
    </xf>
    <xf numFmtId="171" fontId="8" fillId="3" borderId="0" xfId="0" applyNumberFormat="1" applyFont="1" applyFill="1" applyBorder="1"/>
    <xf numFmtId="171" fontId="16" fillId="3" borderId="0" xfId="0" applyNumberFormat="1" applyFont="1" applyFill="1" applyBorder="1"/>
    <xf numFmtId="171" fontId="8" fillId="3" borderId="0" xfId="0" applyNumberFormat="1" applyFont="1" applyFill="1" applyBorder="1" applyAlignment="1" applyProtection="1">
      <alignment horizontal="left"/>
    </xf>
    <xf numFmtId="171" fontId="8" fillId="0" borderId="0" xfId="0" applyNumberFormat="1" applyFont="1" applyBorder="1" applyAlignment="1">
      <alignment horizontal="center"/>
    </xf>
    <xf numFmtId="171" fontId="8" fillId="0" borderId="0" xfId="2" applyNumberFormat="1" applyFont="1" applyBorder="1" applyAlignment="1">
      <alignment horizontal="center"/>
    </xf>
    <xf numFmtId="171" fontId="8" fillId="0" borderId="0" xfId="0" applyNumberFormat="1" applyFont="1" applyBorder="1" applyAlignment="1" applyProtection="1">
      <alignment horizontal="center"/>
    </xf>
    <xf numFmtId="171" fontId="8" fillId="0" borderId="0" xfId="0" applyNumberFormat="1" applyFont="1" applyBorder="1" applyAlignment="1" applyProtection="1">
      <alignment horizontal="center" readingOrder="1"/>
    </xf>
    <xf numFmtId="171" fontId="7" fillId="3" borderId="0" xfId="0" applyNumberFormat="1" applyFont="1" applyFill="1" applyBorder="1" applyAlignment="1" applyProtection="1">
      <alignment horizontal="center" vertical="top" wrapText="1" readingOrder="1"/>
    </xf>
    <xf numFmtId="171" fontId="8" fillId="3" borderId="0" xfId="0" applyNumberFormat="1" applyFont="1" applyFill="1" applyBorder="1" applyAlignment="1" applyProtection="1">
      <alignment horizontal="center" vertical="top" wrapText="1" readingOrder="1"/>
    </xf>
    <xf numFmtId="171" fontId="8" fillId="3" borderId="0" xfId="0" applyNumberFormat="1" applyFont="1" applyFill="1" applyBorder="1" applyAlignment="1" applyProtection="1">
      <alignment horizontal="center"/>
    </xf>
    <xf numFmtId="171" fontId="8" fillId="3" borderId="0" xfId="0" applyNumberFormat="1" applyFont="1" applyFill="1" applyBorder="1" applyAlignment="1">
      <alignment horizontal="center"/>
    </xf>
    <xf numFmtId="171" fontId="8" fillId="0" borderId="0" xfId="0" applyNumberFormat="1" applyFont="1" applyBorder="1" applyAlignment="1" applyProtection="1">
      <alignment horizontal="center" vertical="top" wrapText="1" readingOrder="1"/>
    </xf>
    <xf numFmtId="171" fontId="0" fillId="0" borderId="0" xfId="0" applyNumberFormat="1" applyAlignment="1">
      <alignment horizontal="center"/>
    </xf>
    <xf numFmtId="171" fontId="0" fillId="3" borderId="0" xfId="0" applyNumberFormat="1" applyFill="1" applyAlignment="1">
      <alignment horizontal="center"/>
    </xf>
    <xf numFmtId="0" fontId="7" fillId="0" borderId="0" xfId="0" applyFont="1" applyFill="1"/>
    <xf numFmtId="0" fontId="17" fillId="0" borderId="0" xfId="0" applyFont="1" applyBorder="1" applyProtection="1"/>
    <xf numFmtId="0" fontId="0" fillId="2" borderId="0" xfId="0" applyFill="1" applyBorder="1" applyProtection="1"/>
    <xf numFmtId="0" fontId="0" fillId="5" borderId="0" xfId="0" applyFill="1" applyBorder="1" applyProtection="1"/>
    <xf numFmtId="49" fontId="8" fillId="2" borderId="0" xfId="0" applyNumberFormat="1" applyFont="1" applyFill="1" applyBorder="1" applyAlignment="1" applyProtection="1">
      <alignment horizontal="left"/>
    </xf>
    <xf numFmtId="0" fontId="8" fillId="2" borderId="0" xfId="0" applyNumberFormat="1" applyFont="1" applyFill="1" applyBorder="1" applyAlignment="1" applyProtection="1">
      <alignment horizontal="left"/>
    </xf>
    <xf numFmtId="0" fontId="8" fillId="2" borderId="0" xfId="0" applyNumberFormat="1" applyFont="1" applyFill="1" applyBorder="1" applyProtection="1"/>
    <xf numFmtId="0" fontId="0" fillId="4" borderId="0" xfId="0" applyFill="1" applyBorder="1" applyProtection="1"/>
    <xf numFmtId="0" fontId="8" fillId="4" borderId="0" xfId="0" applyFont="1" applyFill="1" applyBorder="1" applyAlignment="1" applyProtection="1">
      <alignment horizontal="left" readingOrder="1"/>
    </xf>
    <xf numFmtId="0" fontId="8" fillId="4" borderId="0" xfId="0" applyNumberFormat="1" applyFont="1" applyFill="1" applyBorder="1" applyAlignment="1" applyProtection="1">
      <alignment horizontal="left"/>
    </xf>
    <xf numFmtId="0" fontId="8" fillId="4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readingOrder="1"/>
    </xf>
    <xf numFmtId="49" fontId="16" fillId="0" borderId="0" xfId="0" applyNumberFormat="1" applyFont="1" applyBorder="1" applyAlignment="1" applyProtection="1">
      <alignment horizontal="left"/>
    </xf>
    <xf numFmtId="0" fontId="16" fillId="0" borderId="0" xfId="0" applyNumberFormat="1" applyFont="1" applyBorder="1" applyAlignment="1" applyProtection="1">
      <alignment horizontal="left"/>
    </xf>
    <xf numFmtId="0" fontId="16" fillId="0" borderId="0" xfId="0" applyNumberFormat="1" applyFont="1" applyBorder="1" applyProtection="1"/>
    <xf numFmtId="0" fontId="7" fillId="0" borderId="0" xfId="0" applyNumberFormat="1" applyFont="1" applyBorder="1" applyProtection="1"/>
    <xf numFmtId="49" fontId="17" fillId="0" borderId="0" xfId="0" applyNumberFormat="1" applyFont="1" applyBorder="1" applyAlignment="1" applyProtection="1">
      <alignment horizontal="left"/>
    </xf>
    <xf numFmtId="0" fontId="18" fillId="0" borderId="0" xfId="0" applyNumberFormat="1" applyFont="1" applyBorder="1" applyProtection="1"/>
    <xf numFmtId="49" fontId="8" fillId="0" borderId="0" xfId="0" applyNumberFormat="1" applyFont="1" applyBorder="1" applyProtection="1"/>
    <xf numFmtId="2" fontId="8" fillId="0" borderId="0" xfId="0" applyNumberFormat="1" applyFont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readingOrder="1"/>
    </xf>
    <xf numFmtId="0" fontId="18" fillId="2" borderId="0" xfId="0" applyNumberFormat="1" applyFont="1" applyFill="1" applyBorder="1" applyAlignment="1" applyProtection="1">
      <alignment horizontal="left"/>
    </xf>
    <xf numFmtId="0" fontId="18" fillId="2" borderId="0" xfId="0" applyNumberFormat="1" applyFont="1" applyFill="1" applyBorder="1" applyProtection="1"/>
    <xf numFmtId="165" fontId="6" fillId="2" borderId="0" xfId="0" applyNumberFormat="1" applyFont="1" applyFill="1" applyBorder="1" applyAlignment="1" applyProtection="1">
      <alignment horizontal="center"/>
    </xf>
    <xf numFmtId="0" fontId="8" fillId="0" borderId="14" xfId="0" applyNumberFormat="1" applyFont="1" applyFill="1" applyBorder="1" applyProtection="1"/>
    <xf numFmtId="0" fontId="8" fillId="0" borderId="14" xfId="0" applyNumberFormat="1" applyFont="1" applyFill="1" applyBorder="1" applyAlignment="1" applyProtection="1">
      <alignment horizontal="left"/>
    </xf>
    <xf numFmtId="0" fontId="8" fillId="5" borderId="15" xfId="0" applyFont="1" applyFill="1" applyBorder="1" applyAlignment="1" applyProtection="1">
      <alignment horizontal="left" readingOrder="1"/>
    </xf>
    <xf numFmtId="0" fontId="8" fillId="5" borderId="15" xfId="0" applyNumberFormat="1" applyFont="1" applyFill="1" applyBorder="1" applyAlignment="1" applyProtection="1">
      <alignment horizontal="left"/>
    </xf>
    <xf numFmtId="0" fontId="8" fillId="5" borderId="15" xfId="0" applyNumberFormat="1" applyFont="1" applyFill="1" applyBorder="1" applyProtection="1"/>
    <xf numFmtId="0" fontId="7" fillId="0" borderId="15" xfId="0" applyFont="1" applyBorder="1" applyAlignment="1" applyProtection="1">
      <alignment horizontal="left" readingOrder="1"/>
    </xf>
    <xf numFmtId="0" fontId="8" fillId="0" borderId="15" xfId="0" applyNumberFormat="1" applyFont="1" applyFill="1" applyBorder="1" applyAlignment="1" applyProtection="1">
      <alignment horizontal="left"/>
    </xf>
    <xf numFmtId="0" fontId="8" fillId="0" borderId="15" xfId="0" applyNumberFormat="1" applyFont="1" applyFill="1" applyBorder="1" applyProtection="1"/>
    <xf numFmtId="164" fontId="11" fillId="6" borderId="10" xfId="0" applyNumberFormat="1" applyFont="1" applyFill="1" applyBorder="1" applyAlignment="1" applyProtection="1">
      <alignment horizontal="center"/>
    </xf>
    <xf numFmtId="37" fontId="7" fillId="6" borderId="4" xfId="0" applyNumberFormat="1" applyFont="1" applyFill="1" applyBorder="1" applyAlignment="1" applyProtection="1">
      <alignment horizontal="center" vertical="center"/>
    </xf>
    <xf numFmtId="165" fontId="7" fillId="6" borderId="4" xfId="0" applyNumberFormat="1" applyFont="1" applyFill="1" applyBorder="1" applyAlignment="1" applyProtection="1">
      <alignment horizontal="center" vertical="center"/>
    </xf>
    <xf numFmtId="49" fontId="8" fillId="6" borderId="0" xfId="0" applyNumberFormat="1" applyFont="1" applyFill="1" applyBorder="1" applyAlignment="1" applyProtection="1">
      <alignment horizontal="left"/>
    </xf>
    <xf numFmtId="0" fontId="8" fillId="6" borderId="0" xfId="0" applyNumberFormat="1" applyFont="1" applyFill="1" applyBorder="1" applyAlignment="1" applyProtection="1">
      <alignment horizontal="left"/>
    </xf>
    <xf numFmtId="0" fontId="8" fillId="6" borderId="0" xfId="0" applyNumberFormat="1" applyFont="1" applyFill="1" applyBorder="1" applyProtection="1"/>
    <xf numFmtId="164" fontId="8" fillId="6" borderId="0" xfId="0" applyNumberFormat="1" applyFont="1" applyFill="1" applyBorder="1" applyProtection="1"/>
    <xf numFmtId="164" fontId="12" fillId="6" borderId="0" xfId="0" applyNumberFormat="1" applyFont="1" applyFill="1" applyBorder="1" applyAlignment="1" applyProtection="1">
      <alignment horizontal="center"/>
    </xf>
    <xf numFmtId="0" fontId="7" fillId="6" borderId="0" xfId="0" applyNumberFormat="1" applyFont="1" applyFill="1" applyBorder="1" applyAlignment="1" applyProtection="1">
      <alignment horizontal="left" vertical="top"/>
    </xf>
    <xf numFmtId="0" fontId="0" fillId="2" borderId="19" xfId="0" applyFill="1" applyBorder="1" applyProtection="1"/>
    <xf numFmtId="0" fontId="8" fillId="0" borderId="20" xfId="0" applyFont="1" applyBorder="1" applyAlignment="1" applyProtection="1">
      <alignment horizontal="left" readingOrder="1"/>
    </xf>
    <xf numFmtId="0" fontId="8" fillId="0" borderId="20" xfId="0" applyNumberFormat="1" applyFont="1" applyFill="1" applyBorder="1" applyAlignment="1" applyProtection="1">
      <alignment horizontal="left"/>
    </xf>
    <xf numFmtId="0" fontId="8" fillId="0" borderId="20" xfId="0" applyNumberFormat="1" applyFont="1" applyFill="1" applyBorder="1" applyProtection="1"/>
    <xf numFmtId="164" fontId="9" fillId="0" borderId="4" xfId="0" applyNumberFormat="1" applyFont="1" applyFill="1" applyBorder="1" applyAlignment="1" applyProtection="1">
      <alignment horizontal="left" vertical="center"/>
    </xf>
    <xf numFmtId="37" fontId="8" fillId="0" borderId="4" xfId="0" applyNumberFormat="1" applyFont="1" applyFill="1" applyBorder="1" applyAlignment="1" applyProtection="1">
      <alignment horizontal="left" vertical="center"/>
    </xf>
    <xf numFmtId="3" fontId="7" fillId="0" borderId="4" xfId="0" applyNumberFormat="1" applyFont="1" applyFill="1" applyBorder="1" applyAlignment="1" applyProtection="1">
      <alignment horizontal="left" vertical="center"/>
    </xf>
    <xf numFmtId="37" fontId="8" fillId="0" borderId="4" xfId="0" applyNumberFormat="1" applyFont="1" applyBorder="1" applyAlignment="1" applyProtection="1">
      <alignment horizontal="left" vertical="center"/>
    </xf>
    <xf numFmtId="164" fontId="7" fillId="0" borderId="4" xfId="0" applyNumberFormat="1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right" vertical="center" readingOrder="2"/>
    </xf>
    <xf numFmtId="0" fontId="8" fillId="0" borderId="13" xfId="0" applyFont="1" applyFill="1" applyBorder="1" applyAlignment="1" applyProtection="1">
      <alignment horizontal="right" vertical="center" readingOrder="2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7" fillId="0" borderId="15" xfId="0" applyNumberFormat="1" applyFont="1" applyFill="1" applyBorder="1" applyAlignment="1" applyProtection="1">
      <alignment vertical="center"/>
    </xf>
    <xf numFmtId="0" fontId="8" fillId="5" borderId="15" xfId="0" applyFont="1" applyFill="1" applyBorder="1" applyAlignment="1" applyProtection="1">
      <alignment horizontal="left" vertical="center" readingOrder="1"/>
    </xf>
    <xf numFmtId="0" fontId="8" fillId="5" borderId="15" xfId="0" applyNumberFormat="1" applyFont="1" applyFill="1" applyBorder="1" applyAlignment="1" applyProtection="1">
      <alignment horizontal="left" vertical="center"/>
    </xf>
    <xf numFmtId="0" fontId="8" fillId="5" borderId="15" xfId="0" applyNumberFormat="1" applyFont="1" applyFill="1" applyBorder="1" applyAlignment="1" applyProtection="1">
      <alignment vertical="center"/>
    </xf>
    <xf numFmtId="0" fontId="8" fillId="0" borderId="13" xfId="0" applyNumberFormat="1" applyFont="1" applyFill="1" applyBorder="1" applyAlignment="1" applyProtection="1">
      <alignment horizontal="left" vertical="center"/>
    </xf>
    <xf numFmtId="0" fontId="8" fillId="0" borderId="13" xfId="0" applyNumberFormat="1" applyFont="1" applyFill="1" applyBorder="1" applyAlignment="1" applyProtection="1">
      <alignment vertical="center"/>
    </xf>
    <xf numFmtId="0" fontId="8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NumberFormat="1" applyFont="1" applyFill="1" applyBorder="1" applyAlignment="1" applyProtection="1">
      <alignment vertical="center"/>
    </xf>
    <xf numFmtId="49" fontId="8" fillId="5" borderId="15" xfId="0" applyNumberFormat="1" applyFont="1" applyFill="1" applyBorder="1" applyAlignment="1" applyProtection="1">
      <alignment horizontal="left" vertical="center"/>
    </xf>
    <xf numFmtId="0" fontId="8" fillId="0" borderId="12" xfId="0" applyNumberFormat="1" applyFont="1" applyFill="1" applyBorder="1" applyAlignment="1" applyProtection="1">
      <alignment vertical="center"/>
    </xf>
    <xf numFmtId="0" fontId="8" fillId="0" borderId="14" xfId="0" applyFont="1" applyBorder="1" applyAlignment="1" applyProtection="1">
      <alignment horizontal="left" readingOrder="1"/>
    </xf>
    <xf numFmtId="49" fontId="8" fillId="0" borderId="14" xfId="0" applyNumberFormat="1" applyFont="1" applyFill="1" applyBorder="1" applyAlignment="1" applyProtection="1">
      <alignment horizontal="left"/>
    </xf>
    <xf numFmtId="0" fontId="7" fillId="4" borderId="15" xfId="0" applyFont="1" applyFill="1" applyBorder="1" applyAlignment="1" applyProtection="1">
      <alignment horizontal="left" readingOrder="1"/>
    </xf>
    <xf numFmtId="0" fontId="8" fillId="4" borderId="15" xfId="0" applyNumberFormat="1" applyFont="1" applyFill="1" applyBorder="1" applyAlignment="1" applyProtection="1">
      <alignment horizontal="left"/>
    </xf>
    <xf numFmtId="0" fontId="8" fillId="4" borderId="15" xfId="0" applyNumberFormat="1" applyFont="1" applyFill="1" applyBorder="1" applyProtection="1"/>
    <xf numFmtId="0" fontId="8" fillId="0" borderId="22" xfId="0" applyNumberFormat="1" applyFont="1" applyFill="1" applyBorder="1" applyProtection="1"/>
    <xf numFmtId="0" fontId="8" fillId="0" borderId="23" xfId="0" applyFont="1" applyBorder="1" applyAlignment="1" applyProtection="1">
      <alignment horizontal="left" readingOrder="1"/>
    </xf>
    <xf numFmtId="0" fontId="8" fillId="0" borderId="23" xfId="0" applyNumberFormat="1" applyFont="1" applyFill="1" applyBorder="1" applyAlignment="1" applyProtection="1">
      <alignment horizontal="left"/>
    </xf>
    <xf numFmtId="49" fontId="7" fillId="0" borderId="15" xfId="0" applyNumberFormat="1" applyFont="1" applyFill="1" applyBorder="1" applyAlignment="1" applyProtection="1">
      <alignment horizontal="left"/>
    </xf>
    <xf numFmtId="37" fontId="8" fillId="0" borderId="14" xfId="0" applyNumberFormat="1" applyFont="1" applyFill="1" applyBorder="1" applyProtection="1"/>
    <xf numFmtId="49" fontId="7" fillId="0" borderId="14" xfId="0" applyNumberFormat="1" applyFont="1" applyFill="1" applyBorder="1" applyAlignment="1" applyProtection="1">
      <alignment horizontal="left"/>
    </xf>
    <xf numFmtId="0" fontId="0" fillId="6" borderId="25" xfId="0" applyFill="1" applyBorder="1" applyProtection="1"/>
    <xf numFmtId="49" fontId="8" fillId="0" borderId="12" xfId="0" applyNumberFormat="1" applyFont="1" applyBorder="1" applyAlignment="1" applyProtection="1">
      <alignment horizontal="left"/>
    </xf>
    <xf numFmtId="49" fontId="12" fillId="0" borderId="14" xfId="0" applyNumberFormat="1" applyFont="1" applyFill="1" applyBorder="1" applyAlignment="1" applyProtection="1">
      <alignment horizontal="center" vertical="center"/>
    </xf>
    <xf numFmtId="49" fontId="8" fillId="6" borderId="37" xfId="0" applyNumberFormat="1" applyFont="1" applyFill="1" applyBorder="1" applyAlignment="1" applyProtection="1">
      <alignment horizontal="left"/>
    </xf>
    <xf numFmtId="0" fontId="8" fillId="6" borderId="37" xfId="0" applyNumberFormat="1" applyFont="1" applyFill="1" applyBorder="1" applyAlignment="1" applyProtection="1">
      <alignment horizontal="left"/>
    </xf>
    <xf numFmtId="0" fontId="8" fillId="6" borderId="37" xfId="0" applyNumberFormat="1" applyFont="1" applyFill="1" applyBorder="1" applyProtection="1"/>
    <xf numFmtId="49" fontId="8" fillId="6" borderId="28" xfId="0" applyNumberFormat="1" applyFont="1" applyFill="1" applyBorder="1" applyAlignment="1" applyProtection="1">
      <alignment horizontal="left"/>
    </xf>
    <xf numFmtId="0" fontId="8" fillId="6" borderId="28" xfId="0" applyNumberFormat="1" applyFont="1" applyFill="1" applyBorder="1" applyAlignment="1" applyProtection="1">
      <alignment horizontal="left"/>
    </xf>
    <xf numFmtId="0" fontId="8" fillId="6" borderId="28" xfId="0" applyNumberFormat="1" applyFont="1" applyFill="1" applyBorder="1" applyProtection="1"/>
    <xf numFmtId="49" fontId="8" fillId="6" borderId="25" xfId="0" applyNumberFormat="1" applyFont="1" applyFill="1" applyBorder="1" applyAlignment="1" applyProtection="1">
      <alignment horizontal="left"/>
    </xf>
    <xf numFmtId="0" fontId="8" fillId="6" borderId="25" xfId="0" applyNumberFormat="1" applyFont="1" applyFill="1" applyBorder="1" applyAlignment="1" applyProtection="1">
      <alignment horizontal="left"/>
    </xf>
    <xf numFmtId="0" fontId="8" fillId="6" borderId="25" xfId="0" applyNumberFormat="1" applyFont="1" applyFill="1" applyBorder="1" applyProtection="1"/>
    <xf numFmtId="164" fontId="8" fillId="6" borderId="41" xfId="0" applyNumberFormat="1" applyFont="1" applyFill="1" applyBorder="1" applyProtection="1"/>
    <xf numFmtId="0" fontId="8" fillId="0" borderId="44" xfId="0" applyFont="1" applyFill="1" applyBorder="1" applyAlignment="1" applyProtection="1">
      <alignment horizontal="right" vertical="center" readingOrder="2"/>
    </xf>
    <xf numFmtId="0" fontId="7" fillId="0" borderId="45" xfId="0" applyFont="1" applyBorder="1" applyAlignment="1" applyProtection="1">
      <alignment horizontal="left" vertical="center" readingOrder="1"/>
    </xf>
    <xf numFmtId="0" fontId="8" fillId="5" borderId="45" xfId="0" applyFont="1" applyFill="1" applyBorder="1" applyAlignment="1" applyProtection="1">
      <alignment horizontal="left" vertical="center" readingOrder="1"/>
    </xf>
    <xf numFmtId="49" fontId="8" fillId="0" borderId="40" xfId="0" applyNumberFormat="1" applyFont="1" applyFill="1" applyBorder="1" applyAlignment="1" applyProtection="1">
      <alignment horizontal="left" vertical="center"/>
    </xf>
    <xf numFmtId="0" fontId="8" fillId="0" borderId="45" xfId="0" applyFont="1" applyBorder="1" applyAlignment="1" applyProtection="1">
      <alignment horizontal="left" vertical="center" readingOrder="1"/>
    </xf>
    <xf numFmtId="0" fontId="8" fillId="0" borderId="40" xfId="0" applyFont="1" applyBorder="1" applyAlignment="1" applyProtection="1">
      <alignment horizontal="left" vertical="center" readingOrder="1"/>
    </xf>
    <xf numFmtId="0" fontId="8" fillId="0" borderId="15" xfId="0" applyNumberFormat="1" applyFont="1" applyBorder="1" applyAlignment="1" applyProtection="1">
      <alignment horizontal="left"/>
    </xf>
    <xf numFmtId="0" fontId="8" fillId="0" borderId="15" xfId="0" applyNumberFormat="1" applyFont="1" applyBorder="1" applyProtection="1"/>
    <xf numFmtId="49" fontId="8" fillId="0" borderId="14" xfId="0" applyNumberFormat="1" applyFont="1" applyBorder="1" applyAlignment="1" applyProtection="1">
      <alignment horizontal="left"/>
    </xf>
    <xf numFmtId="0" fontId="8" fillId="0" borderId="14" xfId="0" applyNumberFormat="1" applyFont="1" applyBorder="1" applyAlignment="1" applyProtection="1">
      <alignment horizontal="left"/>
    </xf>
    <xf numFmtId="0" fontId="8" fillId="0" borderId="14" xfId="0" applyNumberFormat="1" applyFont="1" applyBorder="1" applyProtection="1"/>
    <xf numFmtId="49" fontId="7" fillId="0" borderId="15" xfId="0" applyNumberFormat="1" applyFont="1" applyBorder="1" applyAlignment="1" applyProtection="1">
      <alignment horizontal="left"/>
    </xf>
    <xf numFmtId="0" fontId="7" fillId="0" borderId="21" xfId="0" applyNumberFormat="1" applyFont="1" applyBorder="1" applyAlignment="1" applyProtection="1">
      <alignment horizontal="left"/>
    </xf>
    <xf numFmtId="49" fontId="7" fillId="0" borderId="22" xfId="0" applyNumberFormat="1" applyFont="1" applyBorder="1" applyAlignment="1" applyProtection="1">
      <alignment horizontal="left"/>
    </xf>
    <xf numFmtId="3" fontId="8" fillId="5" borderId="4" xfId="0" applyNumberFormat="1" applyFont="1" applyFill="1" applyBorder="1" applyAlignment="1" applyProtection="1">
      <alignment horizontal="center" vertical="center"/>
    </xf>
    <xf numFmtId="37" fontId="10" fillId="5" borderId="4" xfId="0" applyNumberFormat="1" applyFont="1" applyFill="1" applyBorder="1" applyAlignment="1" applyProtection="1">
      <alignment horizontal="center" vertical="center"/>
      <protection locked="0"/>
    </xf>
    <xf numFmtId="0" fontId="36" fillId="0" borderId="0" xfId="4" applyFont="1"/>
    <xf numFmtId="0" fontId="36" fillId="6" borderId="50" xfId="4" applyFont="1" applyFill="1" applyBorder="1" applyProtection="1"/>
    <xf numFmtId="0" fontId="36" fillId="6" borderId="49" xfId="4" applyFont="1" applyFill="1" applyBorder="1" applyProtection="1"/>
    <xf numFmtId="37" fontId="37" fillId="6" borderId="49" xfId="4" applyNumberFormat="1" applyFont="1" applyFill="1" applyBorder="1" applyProtection="1"/>
    <xf numFmtId="0" fontId="37" fillId="6" borderId="50" xfId="4" applyFont="1" applyFill="1" applyBorder="1" applyProtection="1"/>
    <xf numFmtId="37" fontId="38" fillId="6" borderId="51" xfId="4" applyNumberFormat="1" applyFont="1" applyFill="1" applyBorder="1" applyAlignment="1" applyProtection="1">
      <alignment vertical="center"/>
    </xf>
    <xf numFmtId="0" fontId="36" fillId="4" borderId="52" xfId="4" applyFont="1" applyFill="1" applyBorder="1" applyAlignment="1" applyProtection="1">
      <alignment horizontal="left" vertical="center"/>
    </xf>
    <xf numFmtId="0" fontId="36" fillId="4" borderId="53" xfId="4" applyFont="1" applyFill="1" applyBorder="1" applyProtection="1"/>
    <xf numFmtId="168" fontId="36" fillId="4" borderId="53" xfId="2" applyNumberFormat="1" applyFont="1" applyFill="1" applyBorder="1" applyAlignment="1" applyProtection="1">
      <alignment horizontal="center" vertical="center"/>
    </xf>
    <xf numFmtId="168" fontId="36" fillId="4" borderId="54" xfId="2" applyNumberFormat="1" applyFont="1" applyFill="1" applyBorder="1" applyAlignment="1" applyProtection="1">
      <alignment horizontal="center" vertical="center"/>
    </xf>
    <xf numFmtId="0" fontId="36" fillId="5" borderId="15" xfId="4" applyFont="1" applyFill="1" applyBorder="1" applyAlignment="1" applyProtection="1">
      <alignment horizontal="left" vertical="center"/>
    </xf>
    <xf numFmtId="0" fontId="36" fillId="5" borderId="15" xfId="4" applyFont="1" applyFill="1" applyBorder="1" applyProtection="1"/>
    <xf numFmtId="168" fontId="36" fillId="5" borderId="15" xfId="2" applyNumberFormat="1" applyFont="1" applyFill="1" applyBorder="1" applyAlignment="1" applyProtection="1">
      <alignment horizontal="center" vertical="center"/>
    </xf>
    <xf numFmtId="169" fontId="36" fillId="5" borderId="15" xfId="1" applyNumberFormat="1" applyFont="1" applyFill="1" applyBorder="1" applyAlignment="1" applyProtection="1">
      <alignment horizontal="center" vertical="center"/>
    </xf>
    <xf numFmtId="169" fontId="36" fillId="5" borderId="32" xfId="1" applyNumberFormat="1" applyFont="1" applyFill="1" applyBorder="1" applyAlignment="1" applyProtection="1">
      <alignment horizontal="center" vertical="center"/>
    </xf>
    <xf numFmtId="0" fontId="36" fillId="0" borderId="0" xfId="4" applyFont="1" applyProtection="1"/>
    <xf numFmtId="10" fontId="36" fillId="0" borderId="0" xfId="4" applyNumberFormat="1" applyFont="1" applyProtection="1"/>
    <xf numFmtId="2" fontId="36" fillId="0" borderId="0" xfId="4" applyNumberFormat="1" applyFont="1"/>
    <xf numFmtId="0" fontId="36" fillId="4" borderId="15" xfId="4" applyFont="1" applyFill="1" applyBorder="1" applyProtection="1"/>
    <xf numFmtId="169" fontId="36" fillId="4" borderId="15" xfId="1" applyNumberFormat="1" applyFont="1" applyFill="1" applyBorder="1" applyAlignment="1" applyProtection="1">
      <alignment horizontal="center" vertical="center"/>
    </xf>
    <xf numFmtId="169" fontId="36" fillId="4" borderId="32" xfId="1" applyNumberFormat="1" applyFont="1" applyFill="1" applyBorder="1" applyAlignment="1" applyProtection="1">
      <alignment horizontal="center" vertical="center"/>
    </xf>
    <xf numFmtId="0" fontId="36" fillId="4" borderId="46" xfId="4" applyFont="1" applyFill="1" applyBorder="1" applyProtection="1"/>
    <xf numFmtId="0" fontId="36" fillId="5" borderId="53" xfId="4" applyFont="1" applyFill="1" applyBorder="1" applyProtection="1"/>
    <xf numFmtId="169" fontId="0" fillId="7" borderId="0" xfId="1" applyNumberFormat="1" applyFont="1" applyFill="1"/>
    <xf numFmtId="0" fontId="0" fillId="7" borderId="0" xfId="0" applyFill="1"/>
    <xf numFmtId="169" fontId="0" fillId="7" borderId="0" xfId="0" applyNumberFormat="1" applyFill="1"/>
    <xf numFmtId="0" fontId="0" fillId="8" borderId="19" xfId="0" applyFill="1" applyBorder="1"/>
    <xf numFmtId="169" fontId="0" fillId="8" borderId="19" xfId="1" applyNumberFormat="1" applyFont="1" applyFill="1" applyBorder="1"/>
    <xf numFmtId="0" fontId="0" fillId="7" borderId="0" xfId="0" applyFont="1" applyFill="1" applyBorder="1"/>
    <xf numFmtId="0" fontId="0" fillId="7" borderId="0" xfId="0" applyFill="1" applyBorder="1"/>
    <xf numFmtId="169" fontId="0" fillId="0" borderId="0" xfId="1" applyNumberFormat="1" applyFont="1"/>
    <xf numFmtId="168" fontId="36" fillId="5" borderId="32" xfId="2" applyNumberFormat="1" applyFont="1" applyFill="1" applyBorder="1" applyAlignment="1" applyProtection="1">
      <alignment horizontal="center" vertical="center"/>
    </xf>
    <xf numFmtId="168" fontId="36" fillId="4" borderId="32" xfId="2" applyNumberFormat="1" applyFont="1" applyFill="1" applyBorder="1" applyAlignment="1" applyProtection="1">
      <alignment horizontal="center" vertical="center"/>
    </xf>
    <xf numFmtId="0" fontId="36" fillId="4" borderId="58" xfId="4" applyFont="1" applyFill="1" applyBorder="1" applyProtection="1"/>
    <xf numFmtId="164" fontId="7" fillId="6" borderId="6" xfId="0" applyNumberFormat="1" applyFont="1" applyFill="1" applyBorder="1" applyAlignment="1" applyProtection="1">
      <alignment horizontal="left" readingOrder="1"/>
    </xf>
    <xf numFmtId="0" fontId="17" fillId="6" borderId="6" xfId="0" applyNumberFormat="1" applyFont="1" applyFill="1" applyBorder="1" applyAlignment="1" applyProtection="1">
      <alignment horizontal="left" vertical="center"/>
    </xf>
    <xf numFmtId="37" fontId="7" fillId="6" borderId="6" xfId="0" applyNumberFormat="1" applyFont="1" applyFill="1" applyBorder="1" applyProtection="1"/>
    <xf numFmtId="9" fontId="36" fillId="4" borderId="58" xfId="2" applyFont="1" applyFill="1" applyBorder="1" applyAlignment="1" applyProtection="1">
      <alignment horizontal="center" vertical="center"/>
    </xf>
    <xf numFmtId="9" fontId="36" fillId="5" borderId="53" xfId="2" applyFont="1" applyFill="1" applyBorder="1" applyAlignment="1" applyProtection="1">
      <alignment horizontal="center" vertical="center"/>
    </xf>
    <xf numFmtId="0" fontId="7" fillId="8" borderId="19" xfId="0" applyFont="1" applyFill="1" applyBorder="1"/>
    <xf numFmtId="0" fontId="7" fillId="8" borderId="19" xfId="0" applyFont="1" applyFill="1" applyBorder="1" applyAlignment="1">
      <alignment horizontal="center" vertical="center"/>
    </xf>
    <xf numFmtId="2" fontId="36" fillId="6" borderId="25" xfId="4" applyNumberFormat="1" applyFont="1" applyFill="1" applyBorder="1" applyAlignment="1"/>
    <xf numFmtId="0" fontId="36" fillId="0" borderId="25" xfId="4" applyFont="1" applyBorder="1" applyProtection="1"/>
    <xf numFmtId="2" fontId="36" fillId="0" borderId="25" xfId="4" applyNumberFormat="1" applyFont="1" applyBorder="1"/>
    <xf numFmtId="0" fontId="36" fillId="5" borderId="63" xfId="4" applyFont="1" applyFill="1" applyBorder="1" applyAlignment="1" applyProtection="1">
      <alignment horizontal="center" vertical="center"/>
    </xf>
    <xf numFmtId="0" fontId="36" fillId="4" borderId="66" xfId="4" applyFont="1" applyFill="1" applyBorder="1" applyAlignment="1" applyProtection="1">
      <alignment horizontal="center" vertical="center"/>
    </xf>
    <xf numFmtId="0" fontId="36" fillId="5" borderId="64" xfId="4" applyFont="1" applyFill="1" applyBorder="1" applyAlignment="1" applyProtection="1">
      <alignment horizontal="center" vertical="center"/>
    </xf>
    <xf numFmtId="0" fontId="39" fillId="5" borderId="43" xfId="0" applyFont="1" applyFill="1" applyBorder="1" applyAlignment="1" applyProtection="1">
      <alignment vertical="center" readingOrder="1"/>
    </xf>
    <xf numFmtId="0" fontId="39" fillId="5" borderId="18" xfId="0" applyFont="1" applyFill="1" applyBorder="1" applyAlignment="1" applyProtection="1">
      <alignment vertical="center" readingOrder="1"/>
    </xf>
    <xf numFmtId="10" fontId="39" fillId="5" borderId="17" xfId="2" applyNumberFormat="1" applyFont="1" applyFill="1" applyBorder="1" applyAlignment="1" applyProtection="1">
      <alignment horizontal="right" vertical="center" readingOrder="1"/>
    </xf>
    <xf numFmtId="10" fontId="39" fillId="5" borderId="15" xfId="2" applyNumberFormat="1" applyFont="1" applyFill="1" applyBorder="1" applyAlignment="1" applyProtection="1">
      <alignment horizontal="center" vertical="center" readingOrder="2"/>
      <protection locked="0"/>
    </xf>
    <xf numFmtId="0" fontId="7" fillId="0" borderId="65" xfId="0" applyFont="1" applyBorder="1" applyAlignment="1" applyProtection="1">
      <alignment horizontal="left" vertical="center" readingOrder="1"/>
    </xf>
    <xf numFmtId="0" fontId="7" fillId="0" borderId="57" xfId="0" applyNumberFormat="1" applyFont="1" applyFill="1" applyBorder="1" applyAlignment="1" applyProtection="1">
      <alignment horizontal="left" vertical="center"/>
    </xf>
    <xf numFmtId="0" fontId="7" fillId="0" borderId="57" xfId="0" applyNumberFormat="1" applyFont="1" applyFill="1" applyBorder="1" applyAlignment="1" applyProtection="1">
      <alignment vertical="center"/>
    </xf>
    <xf numFmtId="10" fontId="39" fillId="5" borderId="32" xfId="2" applyNumberFormat="1" applyFont="1" applyFill="1" applyBorder="1" applyAlignment="1" applyProtection="1">
      <alignment horizontal="center" vertical="center" readingOrder="2"/>
      <protection locked="0"/>
    </xf>
    <xf numFmtId="164" fontId="8" fillId="6" borderId="40" xfId="0" applyNumberFormat="1" applyFont="1" applyFill="1" applyBorder="1" applyProtection="1"/>
    <xf numFmtId="37" fontId="8" fillId="6" borderId="59" xfId="0" applyNumberFormat="1" applyFont="1" applyFill="1" applyBorder="1" applyAlignment="1" applyProtection="1">
      <alignment horizontal="right"/>
    </xf>
    <xf numFmtId="164" fontId="8" fillId="2" borderId="25" xfId="0" applyNumberFormat="1" applyFont="1" applyFill="1" applyBorder="1" applyProtection="1"/>
    <xf numFmtId="37" fontId="8" fillId="2" borderId="25" xfId="0" applyNumberFormat="1" applyFont="1" applyFill="1" applyBorder="1" applyAlignment="1" applyProtection="1">
      <alignment horizontal="right"/>
    </xf>
    <xf numFmtId="0" fontId="8" fillId="2" borderId="37" xfId="0" applyNumberFormat="1" applyFont="1" applyFill="1" applyBorder="1" applyAlignment="1" applyProtection="1">
      <alignment horizontal="left"/>
    </xf>
    <xf numFmtId="49" fontId="8" fillId="2" borderId="37" xfId="0" applyNumberFormat="1" applyFont="1" applyFill="1" applyBorder="1" applyAlignment="1" applyProtection="1">
      <alignment horizontal="left"/>
    </xf>
    <xf numFmtId="0" fontId="8" fillId="2" borderId="24" xfId="0" applyNumberFormat="1" applyFont="1" applyFill="1" applyBorder="1" applyProtection="1"/>
    <xf numFmtId="165" fontId="7" fillId="6" borderId="73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left"/>
    </xf>
    <xf numFmtId="49" fontId="12" fillId="0" borderId="12" xfId="0" applyNumberFormat="1" applyFont="1" applyFill="1" applyBorder="1" applyAlignment="1" applyProtection="1">
      <alignment horizontal="left"/>
    </xf>
    <xf numFmtId="3" fontId="8" fillId="9" borderId="4" xfId="0" applyNumberFormat="1" applyFont="1" applyFill="1" applyBorder="1" applyAlignment="1" applyProtection="1">
      <alignment horizontal="center" vertical="center"/>
    </xf>
    <xf numFmtId="37" fontId="10" fillId="11" borderId="4" xfId="0" applyNumberFormat="1" applyFont="1" applyFill="1" applyBorder="1" applyAlignment="1" applyProtection="1">
      <alignment horizontal="center" vertical="center"/>
      <protection locked="0"/>
    </xf>
    <xf numFmtId="37" fontId="10" fillId="14" borderId="4" xfId="0" applyNumberFormat="1" applyFont="1" applyFill="1" applyBorder="1" applyAlignment="1" applyProtection="1">
      <alignment horizontal="center" vertical="center"/>
      <protection locked="0"/>
    </xf>
    <xf numFmtId="169" fontId="40" fillId="0" borderId="0" xfId="7" applyNumberFormat="1" applyFont="1"/>
    <xf numFmtId="169" fontId="41" fillId="15" borderId="0" xfId="7" applyNumberFormat="1" applyFont="1" applyFill="1" applyAlignment="1">
      <alignment horizontal="center" vertical="center"/>
    </xf>
    <xf numFmtId="169" fontId="41" fillId="15" borderId="19" xfId="7" applyNumberFormat="1" applyFont="1" applyFill="1" applyBorder="1" applyAlignment="1">
      <alignment horizontal="center" vertical="center"/>
    </xf>
    <xf numFmtId="1" fontId="41" fillId="15" borderId="19" xfId="7" applyNumberFormat="1" applyFont="1" applyFill="1" applyBorder="1" applyAlignment="1">
      <alignment horizontal="center" vertical="center"/>
    </xf>
    <xf numFmtId="169" fontId="40" fillId="10" borderId="19" xfId="7" applyNumberFormat="1" applyFont="1" applyFill="1" applyBorder="1"/>
    <xf numFmtId="169" fontId="41" fillId="16" borderId="19" xfId="7" applyNumberFormat="1" applyFont="1" applyFill="1" applyBorder="1"/>
    <xf numFmtId="169" fontId="40" fillId="10" borderId="0" xfId="7" applyNumberFormat="1" applyFont="1" applyFill="1"/>
    <xf numFmtId="169" fontId="40" fillId="0" borderId="0" xfId="7" applyNumberFormat="1" applyFont="1" applyAlignment="1">
      <alignment horizontal="center" vertical="center"/>
    </xf>
    <xf numFmtId="169" fontId="42" fillId="10" borderId="0" xfId="7" applyNumberFormat="1" applyFont="1" applyFill="1"/>
    <xf numFmtId="169" fontId="42" fillId="10" borderId="19" xfId="7" applyNumberFormat="1" applyFont="1" applyFill="1" applyBorder="1"/>
    <xf numFmtId="43" fontId="40" fillId="10" borderId="19" xfId="7" applyNumberFormat="1" applyFont="1" applyFill="1" applyBorder="1"/>
    <xf numFmtId="168" fontId="42" fillId="12" borderId="4" xfId="8" applyNumberFormat="1" applyFont="1" applyFill="1" applyBorder="1"/>
    <xf numFmtId="169" fontId="41" fillId="15" borderId="0" xfId="7" applyNumberFormat="1" applyFont="1" applyFill="1" applyAlignment="1">
      <alignment horizontal="right" vertical="center"/>
    </xf>
    <xf numFmtId="172" fontId="40" fillId="10" borderId="0" xfId="7" applyNumberFormat="1" applyFont="1" applyFill="1" applyAlignment="1">
      <alignment horizontal="center" vertical="center"/>
    </xf>
    <xf numFmtId="172" fontId="42" fillId="12" borderId="0" xfId="7" applyNumberFormat="1" applyFont="1" applyFill="1" applyAlignment="1">
      <alignment horizontal="center"/>
    </xf>
    <xf numFmtId="169" fontId="40" fillId="10" borderId="79" xfId="7" applyNumberFormat="1" applyFont="1" applyFill="1" applyBorder="1"/>
    <xf numFmtId="9" fontId="40" fillId="10" borderId="19" xfId="8" applyFont="1" applyFill="1" applyBorder="1"/>
    <xf numFmtId="169" fontId="41" fillId="15" borderId="19" xfId="7" applyNumberFormat="1" applyFont="1" applyFill="1" applyBorder="1" applyAlignment="1">
      <alignment horizontal="left" vertical="center"/>
    </xf>
    <xf numFmtId="169" fontId="42" fillId="12" borderId="78" xfId="7" applyNumberFormat="1" applyFont="1" applyFill="1" applyBorder="1" applyAlignment="1">
      <alignment horizontal="center" vertical="center"/>
    </xf>
    <xf numFmtId="2" fontId="42" fillId="12" borderId="78" xfId="7" applyNumberFormat="1" applyFont="1" applyFill="1" applyBorder="1" applyAlignment="1">
      <alignment horizontal="center" vertical="center"/>
    </xf>
    <xf numFmtId="2" fontId="41" fillId="15" borderId="12" xfId="7" applyNumberFormat="1" applyFont="1" applyFill="1" applyBorder="1" applyAlignment="1">
      <alignment horizontal="center" vertical="center"/>
    </xf>
    <xf numFmtId="2" fontId="41" fillId="15" borderId="14" xfId="7" applyNumberFormat="1" applyFont="1" applyFill="1" applyBorder="1" applyAlignment="1">
      <alignment horizontal="center" vertical="center"/>
    </xf>
    <xf numFmtId="169" fontId="42" fillId="12" borderId="12" xfId="7" applyNumberFormat="1" applyFont="1" applyFill="1" applyBorder="1"/>
    <xf numFmtId="169" fontId="42" fillId="13" borderId="14" xfId="7" applyNumberFormat="1" applyFont="1" applyFill="1" applyBorder="1"/>
    <xf numFmtId="169" fontId="42" fillId="12" borderId="14" xfId="7" applyNumberFormat="1" applyFont="1" applyFill="1" applyBorder="1"/>
    <xf numFmtId="169" fontId="41" fillId="16" borderId="0" xfId="7" applyNumberFormat="1" applyFont="1" applyFill="1" applyBorder="1"/>
    <xf numFmtId="2" fontId="42" fillId="13" borderId="78" xfId="7" applyNumberFormat="1" applyFont="1" applyFill="1" applyBorder="1" applyAlignment="1">
      <alignment horizontal="center" vertical="center"/>
    </xf>
    <xf numFmtId="1" fontId="42" fillId="12" borderId="80" xfId="7" applyNumberFormat="1" applyFont="1" applyFill="1" applyBorder="1" applyAlignment="1">
      <alignment horizontal="center" vertical="center"/>
    </xf>
    <xf numFmtId="168" fontId="40" fillId="10" borderId="19" xfId="8" applyNumberFormat="1" applyFont="1" applyFill="1" applyBorder="1"/>
    <xf numFmtId="168" fontId="42" fillId="10" borderId="19" xfId="8" applyNumberFormat="1" applyFont="1" applyFill="1" applyBorder="1"/>
    <xf numFmtId="10" fontId="40" fillId="10" borderId="19" xfId="8" applyNumberFormat="1" applyFont="1" applyFill="1" applyBorder="1"/>
    <xf numFmtId="2" fontId="42" fillId="13" borderId="83" xfId="7" applyNumberFormat="1" applyFont="1" applyFill="1" applyBorder="1" applyAlignment="1">
      <alignment horizontal="center" vertical="center"/>
    </xf>
    <xf numFmtId="43" fontId="42" fillId="10" borderId="19" xfId="7" applyFont="1" applyFill="1" applyBorder="1"/>
    <xf numFmtId="168" fontId="42" fillId="0" borderId="0" xfId="8" applyNumberFormat="1" applyFont="1"/>
    <xf numFmtId="1" fontId="42" fillId="12" borderId="19" xfId="7" applyNumberFormat="1" applyFont="1" applyFill="1" applyBorder="1" applyAlignment="1">
      <alignment horizontal="center" vertical="center"/>
    </xf>
    <xf numFmtId="173" fontId="40" fillId="0" borderId="0" xfId="7" applyNumberFormat="1" applyFont="1"/>
    <xf numFmtId="10" fontId="42" fillId="12" borderId="19" xfId="8" applyNumberFormat="1" applyFont="1" applyFill="1" applyBorder="1"/>
    <xf numFmtId="10" fontId="42" fillId="12" borderId="9" xfId="8" applyNumberFormat="1" applyFont="1" applyFill="1" applyBorder="1"/>
    <xf numFmtId="1" fontId="42" fillId="12" borderId="0" xfId="7" applyNumberFormat="1" applyFont="1" applyFill="1" applyBorder="1" applyAlignment="1">
      <alignment horizontal="center" vertical="center"/>
    </xf>
    <xf numFmtId="0" fontId="43" fillId="15" borderId="85" xfId="9" applyFont="1" applyFill="1" applyBorder="1" applyAlignment="1">
      <alignment horizontal="center" vertical="center" wrapText="1" readingOrder="1"/>
    </xf>
    <xf numFmtId="0" fontId="44" fillId="17" borderId="85" xfId="9" applyFont="1" applyFill="1" applyBorder="1" applyAlignment="1">
      <alignment horizontal="center" vertical="center" wrapText="1" readingOrder="1"/>
    </xf>
    <xf numFmtId="165" fontId="41" fillId="15" borderId="0" xfId="7" applyNumberFormat="1" applyFont="1" applyFill="1" applyAlignment="1">
      <alignment horizontal="center" vertical="center"/>
    </xf>
    <xf numFmtId="168" fontId="46" fillId="12" borderId="11" xfId="8" applyNumberFormat="1" applyFont="1" applyFill="1" applyBorder="1"/>
    <xf numFmtId="168" fontId="46" fillId="12" borderId="2" xfId="8" applyNumberFormat="1" applyFont="1" applyFill="1" applyBorder="1"/>
    <xf numFmtId="168" fontId="46" fillId="10" borderId="9" xfId="8" applyNumberFormat="1" applyFont="1" applyFill="1" applyBorder="1"/>
    <xf numFmtId="2" fontId="45" fillId="12" borderId="78" xfId="7" applyNumberFormat="1" applyFont="1" applyFill="1" applyBorder="1" applyAlignment="1">
      <alignment horizontal="center" vertical="center"/>
    </xf>
    <xf numFmtId="2" fontId="45" fillId="12" borderId="19" xfId="7" applyNumberFormat="1" applyFont="1" applyFill="1" applyBorder="1" applyAlignment="1">
      <alignment horizontal="center" vertical="center"/>
    </xf>
    <xf numFmtId="165" fontId="45" fillId="12" borderId="77" xfId="7" applyNumberFormat="1" applyFont="1" applyFill="1" applyBorder="1" applyAlignment="1">
      <alignment horizontal="center" vertical="center"/>
    </xf>
    <xf numFmtId="0" fontId="48" fillId="17" borderId="85" xfId="9" applyFont="1" applyFill="1" applyBorder="1" applyAlignment="1">
      <alignment horizontal="center" wrapText="1" readingOrder="1"/>
    </xf>
    <xf numFmtId="0" fontId="48" fillId="17" borderId="85" xfId="9" applyFont="1" applyFill="1" applyBorder="1" applyAlignment="1">
      <alignment horizontal="center" vertical="center" wrapText="1" readingOrder="1"/>
    </xf>
    <xf numFmtId="169" fontId="49" fillId="10" borderId="77" xfId="7" applyNumberFormat="1" applyFont="1" applyFill="1" applyBorder="1"/>
    <xf numFmtId="169" fontId="49" fillId="10" borderId="19" xfId="7" applyNumberFormat="1" applyFont="1" applyFill="1" applyBorder="1"/>
    <xf numFmtId="169" fontId="49" fillId="0" borderId="0" xfId="7" applyNumberFormat="1" applyFont="1" applyAlignment="1">
      <alignment horizontal="center" vertical="center"/>
    </xf>
    <xf numFmtId="169" fontId="49" fillId="13" borderId="0" xfId="7" applyNumberFormat="1" applyFont="1" applyFill="1" applyAlignment="1">
      <alignment horizontal="center" vertical="center"/>
    </xf>
    <xf numFmtId="165" fontId="37" fillId="6" borderId="55" xfId="4" applyNumberFormat="1" applyFont="1" applyFill="1" applyBorder="1" applyAlignment="1" applyProtection="1">
      <alignment horizontal="center" vertical="center"/>
    </xf>
    <xf numFmtId="0" fontId="4" fillId="0" borderId="0" xfId="9"/>
    <xf numFmtId="0" fontId="52" fillId="0" borderId="0" xfId="10" applyFont="1"/>
    <xf numFmtId="0" fontId="53" fillId="18" borderId="0" xfId="10" applyFont="1" applyFill="1" applyAlignment="1">
      <alignment horizontal="center" vertical="center"/>
    </xf>
    <xf numFmtId="0" fontId="6" fillId="0" borderId="0" xfId="4"/>
    <xf numFmtId="10" fontId="6" fillId="0" borderId="0" xfId="4" applyNumberFormat="1"/>
    <xf numFmtId="169" fontId="41" fillId="16" borderId="19" xfId="7" applyNumberFormat="1" applyFont="1" applyFill="1" applyBorder="1" applyAlignment="1">
      <alignment horizontal="center" vertical="center"/>
    </xf>
    <xf numFmtId="169" fontId="41" fillId="16" borderId="19" xfId="7" applyNumberFormat="1" applyFont="1" applyFill="1" applyBorder="1" applyAlignment="1">
      <alignment vertical="center"/>
    </xf>
    <xf numFmtId="2" fontId="55" fillId="7" borderId="0" xfId="9" applyNumberFormat="1" applyFont="1" applyFill="1" applyAlignment="1">
      <alignment horizontal="center" vertical="center"/>
    </xf>
    <xf numFmtId="0" fontId="56" fillId="0" borderId="0" xfId="11" applyFont="1" applyFill="1"/>
    <xf numFmtId="0" fontId="56" fillId="0" borderId="0" xfId="11" applyFont="1"/>
    <xf numFmtId="0" fontId="56" fillId="0" borderId="0" xfId="11" applyFont="1" applyBorder="1"/>
    <xf numFmtId="0" fontId="57" fillId="0" borderId="0" xfId="11" applyFont="1" applyFill="1" applyAlignment="1">
      <alignment vertical="top"/>
    </xf>
    <xf numFmtId="0" fontId="57" fillId="0" borderId="0" xfId="11" applyFont="1" applyBorder="1" applyProtection="1"/>
    <xf numFmtId="0" fontId="58" fillId="0" borderId="0" xfId="11" applyFont="1" applyBorder="1" applyProtection="1">
      <protection locked="0"/>
    </xf>
    <xf numFmtId="0" fontId="56" fillId="0" borderId="0" xfId="11" applyFont="1" applyFill="1" applyAlignment="1">
      <alignment horizontal="fill"/>
    </xf>
    <xf numFmtId="0" fontId="57" fillId="0" borderId="0" xfId="11" applyFont="1" applyBorder="1"/>
    <xf numFmtId="165" fontId="38" fillId="6" borderId="51" xfId="4" applyNumberFormat="1" applyFont="1" applyFill="1" applyBorder="1" applyAlignment="1" applyProtection="1">
      <alignment vertical="center"/>
    </xf>
    <xf numFmtId="9" fontId="7" fillId="8" borderId="19" xfId="2" applyFont="1" applyFill="1" applyBorder="1" applyAlignment="1">
      <alignment horizontal="center" vertical="center"/>
    </xf>
    <xf numFmtId="0" fontId="36" fillId="5" borderId="87" xfId="4" applyFont="1" applyFill="1" applyBorder="1" applyProtection="1"/>
    <xf numFmtId="9" fontId="36" fillId="5" borderId="87" xfId="2" applyFont="1" applyFill="1" applyBorder="1" applyAlignment="1" applyProtection="1">
      <alignment horizontal="center" vertical="center"/>
    </xf>
    <xf numFmtId="169" fontId="41" fillId="15" borderId="0" xfId="7" applyNumberFormat="1" applyFont="1" applyFill="1" applyBorder="1" applyAlignment="1">
      <alignment horizontal="left" vertical="center"/>
    </xf>
    <xf numFmtId="174" fontId="45" fillId="12" borderId="0" xfId="7" applyNumberFormat="1" applyFont="1" applyFill="1" applyBorder="1" applyAlignment="1">
      <alignment horizontal="center" vertical="center"/>
    </xf>
    <xf numFmtId="9" fontId="0" fillId="8" borderId="19" xfId="2" applyNumberFormat="1" applyFont="1" applyFill="1" applyBorder="1" applyAlignment="1">
      <alignment horizontal="center" vertical="center"/>
    </xf>
    <xf numFmtId="10" fontId="7" fillId="8" borderId="1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6" fillId="8" borderId="19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6" fillId="0" borderId="86" xfId="11" applyFont="1" applyBorder="1"/>
    <xf numFmtId="0" fontId="59" fillId="0" borderId="86" xfId="11" applyFont="1" applyBorder="1" applyProtection="1">
      <protection locked="0"/>
    </xf>
    <xf numFmtId="0" fontId="59" fillId="0" borderId="0" xfId="11" applyFont="1" applyBorder="1" applyProtection="1">
      <protection locked="0"/>
    </xf>
    <xf numFmtId="0" fontId="59" fillId="0" borderId="0" xfId="11" applyFont="1" applyProtection="1">
      <protection locked="0"/>
    </xf>
    <xf numFmtId="10" fontId="59" fillId="0" borderId="86" xfId="11" applyNumberFormat="1" applyFont="1" applyBorder="1" applyProtection="1">
      <protection locked="0"/>
    </xf>
    <xf numFmtId="10" fontId="59" fillId="0" borderId="0" xfId="11" applyNumberFormat="1" applyFont="1" applyBorder="1" applyProtection="1">
      <protection locked="0"/>
    </xf>
    <xf numFmtId="10" fontId="59" fillId="0" borderId="0" xfId="11" applyNumberFormat="1" applyFont="1" applyProtection="1">
      <protection locked="0"/>
    </xf>
    <xf numFmtId="0" fontId="56" fillId="0" borderId="0" xfId="11" applyFont="1" applyFill="1" applyBorder="1"/>
    <xf numFmtId="169" fontId="56" fillId="0" borderId="86" xfId="12" applyNumberFormat="1" applyFont="1" applyBorder="1"/>
    <xf numFmtId="169" fontId="56" fillId="0" borderId="0" xfId="12" applyNumberFormat="1" applyFont="1" applyBorder="1"/>
    <xf numFmtId="169" fontId="56" fillId="0" borderId="0" xfId="12" applyNumberFormat="1" applyFont="1"/>
    <xf numFmtId="169" fontId="59" fillId="0" borderId="0" xfId="12" applyNumberFormat="1" applyFont="1" applyBorder="1" applyProtection="1">
      <protection locked="0"/>
    </xf>
    <xf numFmtId="169" fontId="59" fillId="0" borderId="0" xfId="12" applyNumberFormat="1" applyFont="1" applyProtection="1">
      <protection locked="0"/>
    </xf>
    <xf numFmtId="169" fontId="59" fillId="0" borderId="86" xfId="12" applyNumberFormat="1" applyFont="1" applyBorder="1" applyProtection="1">
      <protection locked="0"/>
    </xf>
    <xf numFmtId="10" fontId="56" fillId="0" borderId="86" xfId="11" applyNumberFormat="1" applyFont="1" applyBorder="1" applyProtection="1"/>
    <xf numFmtId="0" fontId="56" fillId="0" borderId="0" xfId="11" applyFont="1" applyFill="1" applyBorder="1" applyAlignment="1">
      <alignment horizontal="fill"/>
    </xf>
    <xf numFmtId="37" fontId="56" fillId="0" borderId="86" xfId="11" applyNumberFormat="1" applyFont="1" applyBorder="1" applyProtection="1"/>
    <xf numFmtId="37" fontId="56" fillId="0" borderId="0" xfId="11" applyNumberFormat="1" applyFont="1" applyBorder="1" applyProtection="1"/>
    <xf numFmtId="37" fontId="56" fillId="0" borderId="0" xfId="11" applyNumberFormat="1" applyFont="1" applyProtection="1"/>
    <xf numFmtId="0" fontId="56" fillId="0" borderId="86" xfId="11" applyFont="1" applyBorder="1" applyAlignment="1">
      <alignment horizontal="fill"/>
    </xf>
    <xf numFmtId="0" fontId="56" fillId="0" borderId="0" xfId="11" applyFont="1" applyBorder="1" applyAlignment="1">
      <alignment horizontal="fill"/>
    </xf>
    <xf numFmtId="0" fontId="56" fillId="0" borderId="0" xfId="11" applyFont="1" applyAlignment="1">
      <alignment horizontal="fill"/>
    </xf>
    <xf numFmtId="37" fontId="56" fillId="0" borderId="0" xfId="11" applyNumberFormat="1" applyFont="1" applyFill="1" applyBorder="1" applyProtection="1"/>
    <xf numFmtId="37" fontId="56" fillId="0" borderId="0" xfId="11" applyNumberFormat="1" applyFont="1" applyFill="1" applyProtection="1"/>
    <xf numFmtId="0" fontId="59" fillId="0" borderId="0" xfId="11" applyFont="1" applyFill="1" applyProtection="1">
      <protection locked="0"/>
    </xf>
    <xf numFmtId="168" fontId="42" fillId="0" borderId="13" xfId="8" applyNumberFormat="1" applyFont="1" applyBorder="1"/>
    <xf numFmtId="168" fontId="40" fillId="12" borderId="88" xfId="8" applyNumberFormat="1" applyFont="1" applyFill="1" applyBorder="1"/>
    <xf numFmtId="169" fontId="47" fillId="10" borderId="78" xfId="7" applyNumberFormat="1" applyFont="1" applyFill="1" applyBorder="1"/>
    <xf numFmtId="168" fontId="42" fillId="0" borderId="89" xfId="8" applyNumberFormat="1" applyFont="1" applyBorder="1"/>
    <xf numFmtId="168" fontId="46" fillId="10" borderId="19" xfId="8" applyNumberFormat="1" applyFont="1" applyFill="1" applyBorder="1"/>
    <xf numFmtId="43" fontId="46" fillId="10" borderId="19" xfId="7" applyFont="1" applyFill="1" applyBorder="1"/>
    <xf numFmtId="10" fontId="46" fillId="12" borderId="19" xfId="8" applyNumberFormat="1" applyFont="1" applyFill="1" applyBorder="1"/>
    <xf numFmtId="165" fontId="41" fillId="15" borderId="12" xfId="7" applyNumberFormat="1" applyFont="1" applyFill="1" applyBorder="1" applyAlignment="1">
      <alignment horizontal="center" vertical="center"/>
    </xf>
    <xf numFmtId="169" fontId="40" fillId="0" borderId="12" xfId="7" applyNumberFormat="1" applyFont="1" applyBorder="1"/>
    <xf numFmtId="169" fontId="40" fillId="10" borderId="12" xfId="7" applyNumberFormat="1" applyFont="1" applyFill="1" applyBorder="1"/>
    <xf numFmtId="169" fontId="42" fillId="10" borderId="12" xfId="7" applyNumberFormat="1" applyFont="1" applyFill="1" applyBorder="1"/>
    <xf numFmtId="0" fontId="6" fillId="5" borderId="45" xfId="0" applyFont="1" applyFill="1" applyBorder="1" applyAlignment="1" applyProtection="1">
      <alignment horizontal="left" vertical="center" readingOrder="1"/>
    </xf>
    <xf numFmtId="166" fontId="17" fillId="6" borderId="6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3" fontId="8" fillId="2" borderId="25" xfId="0" applyNumberFormat="1" applyFont="1" applyFill="1" applyBorder="1" applyAlignment="1" applyProtection="1">
      <alignment horizontal="center" vertical="center"/>
    </xf>
    <xf numFmtId="0" fontId="8" fillId="2" borderId="25" xfId="0" applyFont="1" applyFill="1" applyBorder="1" applyAlignment="1" applyProtection="1">
      <alignment horizontal="center" vertical="center"/>
    </xf>
    <xf numFmtId="164" fontId="8" fillId="2" borderId="25" xfId="0" applyNumberFormat="1" applyFon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37" fontId="6" fillId="2" borderId="0" xfId="0" applyNumberFormat="1" applyFont="1" applyFill="1" applyBorder="1" applyAlignment="1" applyProtection="1">
      <alignment horizontal="center" vertical="center"/>
    </xf>
    <xf numFmtId="37" fontId="6" fillId="2" borderId="56" xfId="0" applyNumberFormat="1" applyFont="1" applyFill="1" applyBorder="1" applyAlignment="1" applyProtection="1">
      <alignment horizontal="center" vertical="center"/>
    </xf>
    <xf numFmtId="37" fontId="10" fillId="5" borderId="15" xfId="0" applyNumberFormat="1" applyFont="1" applyFill="1" applyBorder="1" applyAlignment="1" applyProtection="1">
      <alignment horizontal="center" vertical="center" readingOrder="2"/>
      <protection locked="0"/>
    </xf>
    <xf numFmtId="37" fontId="39" fillId="5" borderId="15" xfId="0" applyNumberFormat="1" applyFont="1" applyFill="1" applyBorder="1" applyAlignment="1" applyProtection="1">
      <alignment horizontal="center" vertical="center" readingOrder="2"/>
      <protection locked="0"/>
    </xf>
    <xf numFmtId="37" fontId="13" fillId="5" borderId="15" xfId="0" applyNumberFormat="1" applyFont="1" applyFill="1" applyBorder="1" applyAlignment="1" applyProtection="1">
      <alignment horizontal="center" vertical="center" readingOrder="2"/>
      <protection locked="0"/>
    </xf>
    <xf numFmtId="37" fontId="13" fillId="5" borderId="32" xfId="0" applyNumberFormat="1" applyFont="1" applyFill="1" applyBorder="1" applyAlignment="1" applyProtection="1">
      <alignment horizontal="center" vertical="center" readingOrder="2"/>
      <protection locked="0"/>
    </xf>
    <xf numFmtId="0" fontId="8" fillId="0" borderId="13" xfId="0" applyFont="1" applyFill="1" applyBorder="1" applyAlignment="1" applyProtection="1">
      <alignment horizontal="center" vertical="center" readingOrder="2"/>
    </xf>
    <xf numFmtId="0" fontId="8" fillId="0" borderId="33" xfId="0" applyFont="1" applyFill="1" applyBorder="1" applyAlignment="1" applyProtection="1">
      <alignment horizontal="center" vertical="center" readingOrder="2"/>
    </xf>
    <xf numFmtId="0" fontId="8" fillId="0" borderId="0" xfId="0" applyFont="1" applyFill="1" applyBorder="1" applyAlignment="1" applyProtection="1">
      <alignment horizontal="center" vertical="center" readingOrder="2"/>
    </xf>
    <xf numFmtId="37" fontId="7" fillId="0" borderId="15" xfId="0" applyNumberFormat="1" applyFont="1" applyFill="1" applyBorder="1" applyAlignment="1" applyProtection="1">
      <alignment horizontal="center" vertical="center" readingOrder="2"/>
    </xf>
    <xf numFmtId="37" fontId="7" fillId="0" borderId="32" xfId="0" applyNumberFormat="1" applyFont="1" applyFill="1" applyBorder="1" applyAlignment="1" applyProtection="1">
      <alignment horizontal="center" vertical="center" readingOrder="2"/>
    </xf>
    <xf numFmtId="0" fontId="0" fillId="2" borderId="27" xfId="0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center" vertical="center" readingOrder="2"/>
    </xf>
    <xf numFmtId="0" fontId="8" fillId="0" borderId="14" xfId="0" applyFont="1" applyFill="1" applyBorder="1" applyAlignment="1" applyProtection="1">
      <alignment horizontal="center" vertical="center" readingOrder="2"/>
    </xf>
    <xf numFmtId="0" fontId="8" fillId="0" borderId="12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</xf>
    <xf numFmtId="37" fontId="7" fillId="0" borderId="57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37" fontId="13" fillId="0" borderId="20" xfId="0" applyNumberFormat="1" applyFont="1" applyFill="1" applyBorder="1" applyAlignment="1" applyProtection="1">
      <alignment horizontal="center" vertical="center" readingOrder="2"/>
    </xf>
    <xf numFmtId="0" fontId="0" fillId="2" borderId="20" xfId="0" applyFill="1" applyBorder="1" applyAlignment="1" applyProtection="1">
      <alignment horizontal="center" vertical="center"/>
    </xf>
    <xf numFmtId="0" fontId="0" fillId="2" borderId="34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37" fontId="8" fillId="0" borderId="14" xfId="0" applyNumberFormat="1" applyFont="1" applyFill="1" applyBorder="1" applyAlignment="1" applyProtection="1">
      <alignment horizontal="center" vertical="center" readingOrder="2"/>
    </xf>
    <xf numFmtId="37" fontId="13" fillId="0" borderId="14" xfId="0" applyNumberFormat="1" applyFont="1" applyFill="1" applyBorder="1" applyAlignment="1" applyProtection="1">
      <alignment horizontal="center" vertical="center" readingOrder="2"/>
      <protection locked="0"/>
    </xf>
    <xf numFmtId="37" fontId="13" fillId="0" borderId="33" xfId="0" applyNumberFormat="1" applyFont="1" applyFill="1" applyBorder="1" applyAlignment="1" applyProtection="1">
      <alignment horizontal="center" vertical="center" readingOrder="2"/>
      <protection locked="0"/>
    </xf>
    <xf numFmtId="0" fontId="8" fillId="4" borderId="0" xfId="0" applyFont="1" applyFill="1" applyBorder="1" applyAlignment="1" applyProtection="1">
      <alignment horizontal="center" vertical="center" readingOrder="2"/>
    </xf>
    <xf numFmtId="0" fontId="0" fillId="4" borderId="0" xfId="0" applyFill="1" applyBorder="1" applyAlignment="1" applyProtection="1">
      <alignment horizontal="center" vertical="center"/>
    </xf>
    <xf numFmtId="0" fontId="0" fillId="4" borderId="27" xfId="0" applyFill="1" applyBorder="1" applyAlignment="1" applyProtection="1">
      <alignment horizontal="center" vertical="center"/>
    </xf>
    <xf numFmtId="37" fontId="7" fillId="4" borderId="15" xfId="0" applyNumberFormat="1" applyFont="1" applyFill="1" applyBorder="1" applyAlignment="1" applyProtection="1">
      <alignment horizontal="center" vertical="center" readingOrder="2"/>
    </xf>
    <xf numFmtId="37" fontId="8" fillId="0" borderId="39" xfId="0" applyNumberFormat="1" applyFont="1" applyFill="1" applyBorder="1" applyAlignment="1" applyProtection="1">
      <alignment horizontal="center" vertical="center" readingOrder="2"/>
    </xf>
    <xf numFmtId="37" fontId="8" fillId="0" borderId="38" xfId="0" applyNumberFormat="1" applyFont="1" applyFill="1" applyBorder="1" applyAlignment="1" applyProtection="1">
      <alignment horizontal="center" vertical="center" readingOrder="2"/>
    </xf>
    <xf numFmtId="37" fontId="8" fillId="0" borderId="21" xfId="0" applyNumberFormat="1" applyFont="1" applyFill="1" applyBorder="1" applyAlignment="1" applyProtection="1">
      <alignment horizontal="center" vertical="center" readingOrder="2"/>
    </xf>
    <xf numFmtId="0" fontId="0" fillId="2" borderId="24" xfId="0" applyFill="1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37" fontId="7" fillId="5" borderId="15" xfId="0" applyNumberFormat="1" applyFont="1" applyFill="1" applyBorder="1" applyAlignment="1" applyProtection="1">
      <alignment horizontal="center" vertical="center" readingOrder="2"/>
    </xf>
    <xf numFmtId="0" fontId="6" fillId="2" borderId="14" xfId="0" applyFont="1" applyFill="1" applyBorder="1" applyAlignment="1" applyProtection="1">
      <alignment horizontal="center" vertical="center"/>
    </xf>
    <xf numFmtId="37" fontId="13" fillId="0" borderId="14" xfId="0" applyNumberFormat="1" applyFont="1" applyFill="1" applyBorder="1" applyAlignment="1" applyProtection="1">
      <alignment horizontal="center" vertical="center" readingOrder="2"/>
    </xf>
    <xf numFmtId="0" fontId="8" fillId="0" borderId="14" xfId="0" applyFont="1" applyFill="1" applyBorder="1" applyAlignment="1" applyProtection="1">
      <alignment horizontal="center" vertical="center"/>
    </xf>
    <xf numFmtId="37" fontId="7" fillId="0" borderId="15" xfId="0" applyNumberFormat="1" applyFont="1" applyFill="1" applyBorder="1" applyAlignment="1" applyProtection="1">
      <alignment horizontal="center" vertical="center"/>
    </xf>
    <xf numFmtId="37" fontId="7" fillId="0" borderId="14" xfId="0" applyNumberFormat="1" applyFont="1" applyFill="1" applyBorder="1" applyAlignment="1" applyProtection="1">
      <alignment horizontal="center" vertical="center"/>
    </xf>
    <xf numFmtId="37" fontId="7" fillId="0" borderId="32" xfId="0" applyNumberFormat="1" applyFont="1" applyFill="1" applyBorder="1" applyAlignment="1" applyProtection="1">
      <alignment horizontal="center" vertical="center"/>
    </xf>
    <xf numFmtId="0" fontId="8" fillId="6" borderId="37" xfId="0" applyFont="1" applyFill="1" applyBorder="1" applyAlignment="1" applyProtection="1">
      <alignment horizontal="center" vertical="center"/>
    </xf>
    <xf numFmtId="0" fontId="8" fillId="6" borderId="36" xfId="0" applyFont="1" applyFill="1" applyBorder="1" applyAlignment="1" applyProtection="1">
      <alignment horizontal="center" vertical="center"/>
    </xf>
    <xf numFmtId="37" fontId="8" fillId="2" borderId="0" xfId="0" applyNumberFormat="1" applyFont="1" applyFill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 readingOrder="2"/>
    </xf>
    <xf numFmtId="37" fontId="15" fillId="0" borderId="14" xfId="0" applyNumberFormat="1" applyFont="1" applyFill="1" applyBorder="1" applyAlignment="1" applyProtection="1">
      <alignment horizontal="center" vertical="center" readingOrder="2"/>
    </xf>
    <xf numFmtId="37" fontId="7" fillId="0" borderId="0" xfId="0" applyNumberFormat="1" applyFont="1" applyFill="1" applyBorder="1" applyAlignment="1" applyProtection="1">
      <alignment horizontal="center" vertical="center" readingOrder="2"/>
    </xf>
    <xf numFmtId="37" fontId="7" fillId="0" borderId="22" xfId="0" applyNumberFormat="1" applyFont="1" applyFill="1" applyBorder="1" applyAlignment="1" applyProtection="1">
      <alignment horizontal="center" vertical="center" readingOrder="2"/>
    </xf>
    <xf numFmtId="37" fontId="7" fillId="0" borderId="21" xfId="0" applyNumberFormat="1" applyFont="1" applyFill="1" applyBorder="1" applyAlignment="1" applyProtection="1">
      <alignment horizontal="center" vertical="center" readingOrder="2"/>
    </xf>
    <xf numFmtId="37" fontId="7" fillId="0" borderId="48" xfId="0" applyNumberFormat="1" applyFont="1" applyFill="1" applyBorder="1" applyAlignment="1" applyProtection="1">
      <alignment horizontal="center" vertical="center" readingOrder="2"/>
    </xf>
    <xf numFmtId="0" fontId="8" fillId="6" borderId="25" xfId="0" applyFont="1" applyFill="1" applyBorder="1" applyAlignment="1" applyProtection="1">
      <alignment horizontal="center" vertical="center"/>
    </xf>
    <xf numFmtId="0" fontId="8" fillId="6" borderId="26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readingOrder="1"/>
    </xf>
    <xf numFmtId="37" fontId="16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37" fontId="7" fillId="0" borderId="0" xfId="0" applyNumberFormat="1" applyFont="1" applyBorder="1" applyAlignment="1" applyProtection="1">
      <alignment horizontal="center" vertical="center"/>
    </xf>
    <xf numFmtId="37" fontId="7" fillId="0" borderId="0" xfId="0" applyNumberFormat="1" applyFont="1" applyFill="1" applyBorder="1" applyAlignment="1" applyProtection="1">
      <alignment horizontal="center" vertical="center"/>
    </xf>
    <xf numFmtId="37" fontId="7" fillId="0" borderId="27" xfId="0" applyNumberFormat="1" applyFont="1" applyFill="1" applyBorder="1" applyAlignment="1" applyProtection="1">
      <alignment horizontal="center" vertical="center"/>
    </xf>
    <xf numFmtId="37" fontId="8" fillId="0" borderId="0" xfId="0" applyNumberFormat="1" applyFont="1" applyBorder="1" applyAlignment="1" applyProtection="1">
      <alignment horizontal="center" vertical="center"/>
    </xf>
    <xf numFmtId="37" fontId="8" fillId="0" borderId="0" xfId="0" applyNumberFormat="1" applyFont="1" applyFill="1" applyBorder="1" applyAlignment="1" applyProtection="1">
      <alignment horizontal="center" vertical="center"/>
    </xf>
    <xf numFmtId="37" fontId="8" fillId="0" borderId="27" xfId="0" applyNumberFormat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37" fontId="1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</xf>
    <xf numFmtId="37" fontId="8" fillId="2" borderId="27" xfId="0" applyNumberFormat="1" applyFont="1" applyFill="1" applyBorder="1" applyAlignment="1" applyProtection="1">
      <alignment horizontal="center" vertical="center"/>
    </xf>
    <xf numFmtId="0" fontId="8" fillId="6" borderId="0" xfId="0" applyFont="1" applyFill="1" applyBorder="1" applyAlignment="1" applyProtection="1">
      <alignment horizontal="center" vertical="center"/>
    </xf>
    <xf numFmtId="0" fontId="8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0" fillId="6" borderId="26" xfId="0" applyFill="1" applyBorder="1" applyAlignment="1" applyProtection="1">
      <alignment horizontal="center" vertical="center"/>
    </xf>
    <xf numFmtId="0" fontId="36" fillId="10" borderId="4" xfId="4" applyFont="1" applyFill="1" applyBorder="1"/>
    <xf numFmtId="169" fontId="36" fillId="10" borderId="4" xfId="4" applyNumberFormat="1" applyFont="1" applyFill="1" applyBorder="1"/>
    <xf numFmtId="43" fontId="36" fillId="10" borderId="4" xfId="4" applyNumberFormat="1" applyFont="1" applyFill="1" applyBorder="1"/>
    <xf numFmtId="0" fontId="36" fillId="10" borderId="4" xfId="0" applyFont="1" applyFill="1" applyBorder="1"/>
    <xf numFmtId="2" fontId="36" fillId="10" borderId="4" xfId="4" applyNumberFormat="1" applyFont="1" applyFill="1" applyBorder="1"/>
    <xf numFmtId="0" fontId="37" fillId="10" borderId="4" xfId="4" applyFont="1" applyFill="1" applyBorder="1"/>
    <xf numFmtId="169" fontId="37" fillId="10" borderId="4" xfId="1" applyNumberFormat="1" applyFont="1" applyFill="1" applyBorder="1"/>
    <xf numFmtId="169" fontId="37" fillId="10" borderId="4" xfId="4" applyNumberFormat="1" applyFont="1" applyFill="1" applyBorder="1"/>
    <xf numFmtId="0" fontId="36" fillId="0" borderId="28" xfId="4" applyFont="1" applyBorder="1"/>
    <xf numFmtId="0" fontId="37" fillId="6" borderId="50" xfId="4" applyFont="1" applyFill="1" applyBorder="1" applyAlignment="1" applyProtection="1">
      <alignment vertical="center"/>
    </xf>
    <xf numFmtId="0" fontId="37" fillId="6" borderId="49" xfId="4" applyFont="1" applyFill="1" applyBorder="1" applyAlignment="1" applyProtection="1">
      <alignment vertical="center"/>
    </xf>
    <xf numFmtId="0" fontId="36" fillId="5" borderId="46" xfId="4" applyFont="1" applyFill="1" applyBorder="1" applyAlignment="1" applyProtection="1">
      <alignment horizontal="left" vertical="center"/>
    </xf>
    <xf numFmtId="0" fontId="36" fillId="5" borderId="46" xfId="4" applyFont="1" applyFill="1" applyBorder="1" applyProtection="1"/>
    <xf numFmtId="2" fontId="36" fillId="5" borderId="46" xfId="2" applyNumberFormat="1" applyFont="1" applyFill="1" applyBorder="1" applyAlignment="1" applyProtection="1">
      <alignment horizontal="center" vertical="center"/>
    </xf>
    <xf numFmtId="2" fontId="36" fillId="5" borderId="47" xfId="2" applyNumberFormat="1" applyFont="1" applyFill="1" applyBorder="1" applyAlignment="1" applyProtection="1">
      <alignment horizontal="center" vertical="center"/>
    </xf>
    <xf numFmtId="165" fontId="36" fillId="6" borderId="90" xfId="4" applyNumberFormat="1" applyFont="1" applyFill="1" applyBorder="1" applyProtection="1"/>
    <xf numFmtId="165" fontId="37" fillId="6" borderId="91" xfId="4" applyNumberFormat="1" applyFont="1" applyFill="1" applyBorder="1" applyProtection="1"/>
    <xf numFmtId="165" fontId="37" fillId="6" borderId="92" xfId="4" applyNumberFormat="1" applyFont="1" applyFill="1" applyBorder="1" applyAlignment="1" applyProtection="1">
      <alignment horizontal="center" vertical="center"/>
    </xf>
    <xf numFmtId="0" fontId="36" fillId="4" borderId="15" xfId="4" applyFont="1" applyFill="1" applyBorder="1" applyAlignment="1" applyProtection="1">
      <alignment horizontal="center" vertical="center"/>
    </xf>
    <xf numFmtId="0" fontId="36" fillId="5" borderId="15" xfId="4" applyFont="1" applyFill="1" applyBorder="1" applyAlignment="1" applyProtection="1">
      <alignment horizontal="center" vertical="center"/>
    </xf>
    <xf numFmtId="0" fontId="36" fillId="4" borderId="46" xfId="4" applyFont="1" applyFill="1" applyBorder="1" applyAlignment="1" applyProtection="1">
      <alignment horizontal="center" vertical="center"/>
    </xf>
    <xf numFmtId="169" fontId="36" fillId="4" borderId="46" xfId="1" applyNumberFormat="1" applyFont="1" applyFill="1" applyBorder="1" applyAlignment="1" applyProtection="1">
      <alignment horizontal="center" vertical="center"/>
    </xf>
    <xf numFmtId="175" fontId="36" fillId="5" borderId="15" xfId="2" applyNumberFormat="1" applyFont="1" applyFill="1" applyBorder="1" applyAlignment="1" applyProtection="1">
      <alignment horizontal="center" vertical="center"/>
    </xf>
    <xf numFmtId="175" fontId="36" fillId="5" borderId="32" xfId="2" applyNumberFormat="1" applyFont="1" applyFill="1" applyBorder="1" applyAlignment="1" applyProtection="1">
      <alignment horizontal="center" vertical="center"/>
    </xf>
    <xf numFmtId="176" fontId="36" fillId="5" borderId="15" xfId="2" applyNumberFormat="1" applyFont="1" applyFill="1" applyBorder="1" applyAlignment="1" applyProtection="1">
      <alignment horizontal="center" vertical="center"/>
    </xf>
    <xf numFmtId="176" fontId="36" fillId="5" borderId="32" xfId="2" applyNumberFormat="1" applyFont="1" applyFill="1" applyBorder="1" applyAlignment="1" applyProtection="1">
      <alignment horizontal="center" vertical="center"/>
    </xf>
    <xf numFmtId="10" fontId="36" fillId="5" borderId="15" xfId="2" applyNumberFormat="1" applyFont="1" applyFill="1" applyBorder="1" applyAlignment="1" applyProtection="1">
      <alignment horizontal="center" vertical="center"/>
    </xf>
    <xf numFmtId="10" fontId="36" fillId="5" borderId="32" xfId="2" applyNumberFormat="1" applyFont="1" applyFill="1" applyBorder="1" applyAlignment="1" applyProtection="1">
      <alignment horizontal="center" vertical="center"/>
    </xf>
    <xf numFmtId="43" fontId="37" fillId="10" borderId="4" xfId="1" applyNumberFormat="1" applyFont="1" applyFill="1" applyBorder="1"/>
    <xf numFmtId="1" fontId="37" fillId="10" borderId="4" xfId="4" applyNumberFormat="1" applyFont="1" applyFill="1" applyBorder="1" applyAlignment="1">
      <alignment horizontal="center" vertical="center"/>
    </xf>
    <xf numFmtId="174" fontId="4" fillId="0" borderId="0" xfId="9" applyNumberFormat="1"/>
    <xf numFmtId="174" fontId="52" fillId="0" borderId="0" xfId="10" applyNumberFormat="1" applyFont="1"/>
    <xf numFmtId="174" fontId="53" fillId="18" borderId="0" xfId="10" applyNumberFormat="1" applyFont="1" applyFill="1" applyAlignment="1">
      <alignment horizontal="center" vertical="center"/>
    </xf>
    <xf numFmtId="174" fontId="50" fillId="0" borderId="0" xfId="10" applyNumberFormat="1" applyFill="1" applyAlignment="1">
      <alignment horizontal="center"/>
    </xf>
    <xf numFmtId="0" fontId="50" fillId="0" borderId="0" xfId="10" applyFill="1" applyAlignment="1">
      <alignment horizontal="center"/>
    </xf>
    <xf numFmtId="3" fontId="50" fillId="0" borderId="0" xfId="10" applyNumberFormat="1" applyFill="1" applyAlignment="1">
      <alignment horizontal="center"/>
    </xf>
    <xf numFmtId="174" fontId="50" fillId="0" borderId="0" xfId="10" applyNumberFormat="1" applyAlignment="1">
      <alignment horizontal="center"/>
    </xf>
    <xf numFmtId="0" fontId="50" fillId="0" borderId="0" xfId="10" applyAlignment="1">
      <alignment horizontal="center"/>
    </xf>
    <xf numFmtId="3" fontId="50" fillId="0" borderId="0" xfId="10" applyNumberFormat="1" applyAlignment="1">
      <alignment horizontal="center"/>
    </xf>
    <xf numFmtId="169" fontId="55" fillId="7" borderId="0" xfId="1" applyNumberFormat="1" applyFont="1" applyFill="1" applyAlignment="1">
      <alignment horizontal="center" vertical="center"/>
    </xf>
    <xf numFmtId="1" fontId="4" fillId="0" borderId="0" xfId="9" applyNumberFormat="1" applyAlignment="1">
      <alignment horizontal="center" vertical="center"/>
    </xf>
    <xf numFmtId="169" fontId="53" fillId="18" borderId="0" xfId="1" applyNumberFormat="1" applyFont="1" applyFill="1" applyAlignment="1">
      <alignment horizontal="center" vertical="center"/>
    </xf>
    <xf numFmtId="169" fontId="4" fillId="0" borderId="0" xfId="1" applyNumberFormat="1" applyFont="1" applyAlignment="1">
      <alignment horizontal="center" vertical="center"/>
    </xf>
    <xf numFmtId="0" fontId="55" fillId="0" borderId="0" xfId="9" applyFont="1" applyAlignment="1">
      <alignment horizontal="center" vertical="center" wrapText="1"/>
    </xf>
    <xf numFmtId="10" fontId="55" fillId="7" borderId="0" xfId="2" applyNumberFormat="1" applyFont="1" applyFill="1" applyAlignment="1">
      <alignment horizontal="center" vertical="center"/>
    </xf>
    <xf numFmtId="2" fontId="14" fillId="12" borderId="80" xfId="7" applyNumberFormat="1" applyFont="1" applyFill="1" applyBorder="1" applyAlignment="1">
      <alignment horizontal="center" vertical="center"/>
    </xf>
    <xf numFmtId="0" fontId="61" fillId="10" borderId="4" xfId="4" applyFont="1" applyFill="1" applyBorder="1" applyAlignment="1">
      <alignment horizontal="center" vertical="center"/>
    </xf>
    <xf numFmtId="2" fontId="45" fillId="12" borderId="80" xfId="7" applyNumberFormat="1" applyFont="1" applyFill="1" applyBorder="1" applyAlignment="1">
      <alignment horizontal="center" vertical="center"/>
    </xf>
    <xf numFmtId="37" fontId="36" fillId="10" borderId="4" xfId="4" applyNumberFormat="1" applyFont="1" applyFill="1" applyBorder="1"/>
    <xf numFmtId="169" fontId="62" fillId="4" borderId="15" xfId="1" applyNumberFormat="1" applyFont="1" applyFill="1" applyBorder="1" applyAlignment="1" applyProtection="1">
      <alignment horizontal="center" vertical="center"/>
    </xf>
    <xf numFmtId="168" fontId="6" fillId="8" borderId="19" xfId="2" applyNumberFormat="1" applyFont="1" applyFill="1" applyBorder="1" applyAlignment="1">
      <alignment horizontal="center" vertical="center"/>
    </xf>
    <xf numFmtId="168" fontId="36" fillId="4" borderId="93" xfId="2" applyNumberFormat="1" applyFont="1" applyFill="1" applyBorder="1" applyAlignment="1" applyProtection="1">
      <alignment horizontal="center" vertical="center"/>
    </xf>
    <xf numFmtId="168" fontId="36" fillId="4" borderId="94" xfId="2" applyNumberFormat="1" applyFont="1" applyFill="1" applyBorder="1" applyAlignment="1" applyProtection="1">
      <alignment horizontal="center" vertical="center"/>
    </xf>
    <xf numFmtId="168" fontId="36" fillId="4" borderId="95" xfId="2" applyNumberFormat="1" applyFont="1" applyFill="1" applyBorder="1" applyAlignment="1" applyProtection="1">
      <alignment horizontal="center" vertical="center"/>
    </xf>
    <xf numFmtId="2" fontId="42" fillId="0" borderId="89" xfId="8" applyNumberFormat="1" applyFont="1" applyBorder="1"/>
    <xf numFmtId="2" fontId="42" fillId="12" borderId="19" xfId="7" applyNumberFormat="1" applyFont="1" applyFill="1" applyBorder="1" applyAlignment="1">
      <alignment horizontal="center" vertical="center"/>
    </xf>
    <xf numFmtId="2" fontId="43" fillId="15" borderId="85" xfId="9" applyNumberFormat="1" applyFont="1" applyFill="1" applyBorder="1" applyAlignment="1">
      <alignment horizontal="center" vertical="center" wrapText="1" readingOrder="1"/>
    </xf>
    <xf numFmtId="1" fontId="63" fillId="12" borderId="19" xfId="7" applyNumberFormat="1" applyFont="1" applyFill="1" applyBorder="1" applyAlignment="1">
      <alignment horizontal="center" vertical="center"/>
    </xf>
    <xf numFmtId="2" fontId="63" fillId="12" borderId="19" xfId="7" applyNumberFormat="1" applyFont="1" applyFill="1" applyBorder="1" applyAlignment="1">
      <alignment horizontal="center" vertical="center"/>
    </xf>
    <xf numFmtId="37" fontId="39" fillId="4" borderId="15" xfId="0" applyNumberFormat="1" applyFont="1" applyFill="1" applyBorder="1" applyAlignment="1" applyProtection="1">
      <alignment horizontal="center" vertical="center" readingOrder="2"/>
      <protection locked="0"/>
    </xf>
    <xf numFmtId="177" fontId="0" fillId="0" borderId="0" xfId="0" applyNumberFormat="1" applyAlignment="1">
      <alignment horizontal="center" vertical="center"/>
    </xf>
    <xf numFmtId="10" fontId="0" fillId="8" borderId="19" xfId="2" applyNumberFormat="1" applyFont="1" applyFill="1" applyBorder="1"/>
    <xf numFmtId="9" fontId="0" fillId="8" borderId="19" xfId="2" applyNumberFormat="1" applyFont="1" applyFill="1" applyBorder="1"/>
    <xf numFmtId="0" fontId="43" fillId="15" borderId="98" xfId="9" applyFont="1" applyFill="1" applyBorder="1" applyAlignment="1">
      <alignment horizontal="center" vertical="center" wrapText="1" readingOrder="1"/>
    </xf>
    <xf numFmtId="0" fontId="43" fillId="15" borderId="99" xfId="9" applyFont="1" applyFill="1" applyBorder="1" applyAlignment="1">
      <alignment horizontal="center" vertical="center" wrapText="1" readingOrder="1"/>
    </xf>
    <xf numFmtId="0" fontId="43" fillId="15" borderId="100" xfId="9" applyFont="1" applyFill="1" applyBorder="1" applyAlignment="1">
      <alignment horizontal="center" vertical="center" wrapText="1" readingOrder="1"/>
    </xf>
    <xf numFmtId="0" fontId="43" fillId="15" borderId="101" xfId="9" applyFont="1" applyFill="1" applyBorder="1" applyAlignment="1">
      <alignment horizontal="center" vertical="center" wrapText="1" readingOrder="1"/>
    </xf>
    <xf numFmtId="0" fontId="43" fillId="15" borderId="102" xfId="9" applyFont="1" applyFill="1" applyBorder="1" applyAlignment="1">
      <alignment horizontal="center" vertical="center" wrapText="1" readingOrder="1"/>
    </xf>
    <xf numFmtId="0" fontId="43" fillId="15" borderId="103" xfId="9" applyFont="1" applyFill="1" applyBorder="1" applyAlignment="1">
      <alignment horizontal="center" vertical="center" wrapText="1" readingOrder="1"/>
    </xf>
    <xf numFmtId="0" fontId="43" fillId="15" borderId="96" xfId="9" applyFont="1" applyFill="1" applyBorder="1" applyAlignment="1">
      <alignment horizontal="center" vertical="center" wrapText="1" readingOrder="1"/>
    </xf>
    <xf numFmtId="0" fontId="43" fillId="15" borderId="97" xfId="9" applyFont="1" applyFill="1" applyBorder="1" applyAlignment="1">
      <alignment horizontal="center" vertical="center" wrapText="1" readingOrder="1"/>
    </xf>
    <xf numFmtId="14" fontId="4" fillId="0" borderId="0" xfId="9" applyNumberFormat="1"/>
    <xf numFmtId="0" fontId="50" fillId="0" borderId="0" xfId="10"/>
    <xf numFmtId="4" fontId="50" fillId="0" borderId="0" xfId="10" applyNumberFormat="1"/>
    <xf numFmtId="0" fontId="10" fillId="5" borderId="4" xfId="0" applyNumberFormat="1" applyFont="1" applyFill="1" applyBorder="1" applyAlignment="1" applyProtection="1">
      <alignment horizontal="center" vertical="center"/>
      <protection locked="0"/>
    </xf>
    <xf numFmtId="0" fontId="7" fillId="6" borderId="4" xfId="0" applyNumberFormat="1" applyFont="1" applyFill="1" applyBorder="1" applyAlignment="1" applyProtection="1">
      <alignment horizontal="center" vertical="center"/>
    </xf>
    <xf numFmtId="43" fontId="10" fillId="5" borderId="4" xfId="1" applyNumberFormat="1" applyFont="1" applyFill="1" applyBorder="1" applyAlignment="1" applyProtection="1">
      <alignment horizontal="center" vertical="center"/>
      <protection locked="0"/>
    </xf>
    <xf numFmtId="43" fontId="10" fillId="7" borderId="4" xfId="1" applyNumberFormat="1" applyFont="1" applyFill="1" applyBorder="1" applyAlignment="1" applyProtection="1">
      <alignment horizontal="center" vertical="center"/>
      <protection locked="0"/>
    </xf>
    <xf numFmtId="43" fontId="1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0" xfId="0" applyNumberFormat="1"/>
    <xf numFmtId="43" fontId="7" fillId="7" borderId="4" xfId="1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Border="1" applyAlignment="1">
      <alignment horizontal="center" wrapText="1"/>
    </xf>
    <xf numFmtId="0" fontId="6" fillId="0" borderId="0" xfId="0" applyFont="1" applyAlignment="1">
      <alignment horizontal="left" readingOrder="1"/>
    </xf>
    <xf numFmtId="0" fontId="8" fillId="5" borderId="43" xfId="0" applyFont="1" applyFill="1" applyBorder="1" applyAlignment="1" applyProtection="1">
      <alignment horizontal="left" vertical="center" readingOrder="1"/>
    </xf>
    <xf numFmtId="0" fontId="8" fillId="5" borderId="16" xfId="0" applyFont="1" applyFill="1" applyBorder="1" applyAlignment="1" applyProtection="1">
      <alignment horizontal="left" vertical="center" readingOrder="1"/>
    </xf>
    <xf numFmtId="0" fontId="6" fillId="5" borderId="16" xfId="0" applyFont="1" applyFill="1" applyBorder="1" applyAlignment="1" applyProtection="1">
      <alignment horizontal="left" vertical="center" readingOrder="1"/>
    </xf>
    <xf numFmtId="0" fontId="6" fillId="5" borderId="16" xfId="0" applyFont="1" applyFill="1" applyBorder="1" applyAlignment="1" applyProtection="1">
      <alignment horizontal="left" readingOrder="1"/>
    </xf>
    <xf numFmtId="0" fontId="8" fillId="5" borderId="16" xfId="0" applyFont="1" applyFill="1" applyBorder="1" applyAlignment="1" applyProtection="1">
      <alignment horizontal="left" readingOrder="1"/>
    </xf>
    <xf numFmtId="0" fontId="8" fillId="5" borderId="15" xfId="0" applyFont="1" applyFill="1" applyBorder="1" applyAlignment="1" applyProtection="1">
      <alignment horizontal="left" vertical="center" readingOrder="1"/>
    </xf>
    <xf numFmtId="0" fontId="7" fillId="5" borderId="43" xfId="0" applyFont="1" applyFill="1" applyBorder="1" applyAlignment="1" applyProtection="1">
      <alignment horizontal="left" vertical="center" readingOrder="1"/>
    </xf>
    <xf numFmtId="0" fontId="7" fillId="0" borderId="43" xfId="0" applyFont="1" applyBorder="1" applyAlignment="1" applyProtection="1">
      <alignment horizontal="left" vertical="center" readingOrder="1"/>
    </xf>
    <xf numFmtId="49" fontId="7" fillId="0" borderId="16" xfId="0" applyNumberFormat="1" applyFont="1" applyBorder="1" applyAlignment="1" applyProtection="1">
      <alignment horizontal="left" vertical="center"/>
    </xf>
    <xf numFmtId="49" fontId="7" fillId="0" borderId="16" xfId="0" applyNumberFormat="1" applyFont="1" applyBorder="1" applyAlignment="1" applyProtection="1">
      <alignment horizontal="left"/>
    </xf>
    <xf numFmtId="41" fontId="8" fillId="2" borderId="0" xfId="0" applyNumberFormat="1" applyFont="1" applyFill="1" applyBorder="1" applyAlignment="1" applyProtection="1">
      <alignment horizontal="center" vertical="center"/>
    </xf>
    <xf numFmtId="0" fontId="3" fillId="0" borderId="0" xfId="15"/>
    <xf numFmtId="168" fontId="0" fillId="0" borderId="0" xfId="16" applyNumberFormat="1" applyFont="1" applyAlignment="1">
      <alignment horizontal="center" vertical="center"/>
    </xf>
    <xf numFmtId="168" fontId="0" fillId="6" borderId="0" xfId="16" applyNumberFormat="1" applyFont="1" applyFill="1" applyAlignment="1">
      <alignment horizontal="center" vertical="center"/>
    </xf>
    <xf numFmtId="168" fontId="3" fillId="6" borderId="0" xfId="15" applyNumberFormat="1" applyFill="1" applyAlignment="1">
      <alignment horizontal="center" vertical="center"/>
    </xf>
    <xf numFmtId="0" fontId="3" fillId="6" borderId="0" xfId="15" applyFill="1"/>
    <xf numFmtId="168" fontId="0" fillId="0" borderId="0" xfId="16" applyNumberFormat="1" applyFont="1" applyAlignment="1">
      <alignment horizontal="left" vertical="center"/>
    </xf>
    <xf numFmtId="0" fontId="3" fillId="0" borderId="0" xfId="15" applyAlignment="1">
      <alignment horizontal="left"/>
    </xf>
    <xf numFmtId="0" fontId="66" fillId="20" borderId="0" xfId="15" applyFont="1" applyFill="1"/>
    <xf numFmtId="0" fontId="66" fillId="0" borderId="0" xfId="15" applyFont="1" applyAlignment="1">
      <alignment horizontal="center" vertical="center"/>
    </xf>
    <xf numFmtId="0" fontId="3" fillId="0" borderId="0" xfId="15" applyFill="1"/>
    <xf numFmtId="43" fontId="36" fillId="5" borderId="15" xfId="1" applyFont="1" applyFill="1" applyBorder="1" applyAlignment="1" applyProtection="1">
      <alignment horizontal="center" vertical="center"/>
    </xf>
    <xf numFmtId="43" fontId="36" fillId="5" borderId="32" xfId="1" applyFont="1" applyFill="1" applyBorder="1" applyAlignment="1" applyProtection="1">
      <alignment horizontal="center" vertical="center"/>
    </xf>
    <xf numFmtId="0" fontId="65" fillId="22" borderId="0" xfId="15" applyFont="1" applyFill="1" applyAlignment="1">
      <alignment horizontal="center" vertical="center"/>
    </xf>
    <xf numFmtId="9" fontId="3" fillId="0" borderId="0" xfId="2" applyFont="1"/>
    <xf numFmtId="178" fontId="3" fillId="0" borderId="0" xfId="15" applyNumberFormat="1"/>
    <xf numFmtId="9" fontId="36" fillId="5" borderId="15" xfId="2" applyFont="1" applyFill="1" applyBorder="1" applyAlignment="1" applyProtection="1">
      <alignment horizontal="center" vertical="center"/>
    </xf>
    <xf numFmtId="0" fontId="65" fillId="9" borderId="0" xfId="15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69" fillId="23" borderId="11" xfId="13" applyFont="1" applyFill="1" applyBorder="1"/>
    <xf numFmtId="0" fontId="69" fillId="23" borderId="11" xfId="13" applyFont="1" applyFill="1" applyBorder="1" applyAlignment="1">
      <alignment horizontal="center" vertical="center"/>
    </xf>
    <xf numFmtId="169" fontId="68" fillId="23" borderId="0" xfId="1" applyNumberFormat="1" applyFont="1" applyFill="1" applyAlignment="1">
      <alignment horizontal="center" vertical="center"/>
    </xf>
    <xf numFmtId="169" fontId="68" fillId="0" borderId="0" xfId="1" applyNumberFormat="1" applyFont="1" applyFill="1" applyAlignment="1">
      <alignment horizontal="center" vertical="center"/>
    </xf>
    <xf numFmtId="0" fontId="66" fillId="0" borderId="0" xfId="0" applyFont="1"/>
    <xf numFmtId="0" fontId="7" fillId="24" borderId="104" xfId="0" applyFont="1" applyFill="1" applyBorder="1" applyAlignment="1">
      <alignment horizontal="left" readingOrder="1"/>
    </xf>
    <xf numFmtId="0" fontId="0" fillId="24" borderId="0" xfId="0" applyFill="1"/>
    <xf numFmtId="0" fontId="66" fillId="24" borderId="0" xfId="0" applyFont="1" applyFill="1"/>
    <xf numFmtId="49" fontId="6" fillId="0" borderId="104" xfId="0" applyNumberFormat="1" applyFont="1" applyBorder="1" applyAlignment="1">
      <alignment horizontal="left"/>
    </xf>
    <xf numFmtId="0" fontId="7" fillId="0" borderId="104" xfId="0" applyFont="1" applyBorder="1" applyAlignment="1">
      <alignment horizontal="left" readingOrder="1"/>
    </xf>
    <xf numFmtId="0" fontId="7" fillId="25" borderId="104" xfId="0" applyFont="1" applyFill="1" applyBorder="1" applyAlignment="1">
      <alignment horizontal="left" readingOrder="1"/>
    </xf>
    <xf numFmtId="0" fontId="0" fillId="25" borderId="0" xfId="0" applyFill="1"/>
    <xf numFmtId="0" fontId="68" fillId="26" borderId="0" xfId="0" applyFont="1" applyFill="1"/>
    <xf numFmtId="0" fontId="7" fillId="25" borderId="0" xfId="0" applyFont="1" applyFill="1" applyAlignment="1">
      <alignment horizontal="center" vertical="center"/>
    </xf>
    <xf numFmtId="0" fontId="65" fillId="26" borderId="0" xfId="0" applyFont="1" applyFill="1"/>
    <xf numFmtId="0" fontId="68" fillId="27" borderId="0" xfId="0" applyFont="1" applyFill="1" applyAlignment="1">
      <alignment horizontal="center" vertical="center"/>
    </xf>
    <xf numFmtId="37" fontId="7" fillId="25" borderId="0" xfId="0" applyNumberFormat="1" applyFont="1" applyFill="1" applyAlignment="1">
      <alignment horizontal="center" vertical="center"/>
    </xf>
    <xf numFmtId="9" fontId="0" fillId="0" borderId="0" xfId="2" applyFont="1"/>
    <xf numFmtId="37" fontId="0" fillId="0" borderId="0" xfId="1" applyNumberFormat="1" applyFont="1" applyAlignment="1">
      <alignment horizontal="center" vertical="center"/>
    </xf>
    <xf numFmtId="9" fontId="7" fillId="25" borderId="0" xfId="2" applyFont="1" applyFill="1"/>
    <xf numFmtId="9" fontId="7" fillId="25" borderId="0" xfId="2" applyFont="1" applyFill="1" applyAlignment="1">
      <alignment horizontal="center" vertical="center"/>
    </xf>
    <xf numFmtId="10" fontId="0" fillId="0" borderId="0" xfId="2" applyNumberFormat="1" applyFont="1"/>
    <xf numFmtId="0" fontId="7" fillId="6" borderId="29" xfId="0" applyNumberFormat="1" applyFont="1" applyFill="1" applyBorder="1" applyAlignment="1" applyProtection="1">
      <alignment horizontal="center" vertical="center"/>
    </xf>
    <xf numFmtId="0" fontId="7" fillId="6" borderId="73" xfId="0" applyNumberFormat="1" applyFont="1" applyFill="1" applyBorder="1" applyAlignment="1" applyProtection="1">
      <alignment horizontal="center" vertical="center"/>
    </xf>
    <xf numFmtId="0" fontId="7" fillId="6" borderId="74" xfId="0" applyNumberFormat="1" applyFont="1" applyFill="1" applyBorder="1" applyAlignment="1" applyProtection="1">
      <alignment horizontal="center" vertical="center"/>
    </xf>
    <xf numFmtId="0" fontId="37" fillId="6" borderId="49" xfId="4" applyNumberFormat="1" applyFont="1" applyFill="1" applyBorder="1" applyAlignment="1" applyProtection="1">
      <alignment horizontal="center" vertical="center"/>
    </xf>
    <xf numFmtId="0" fontId="37" fillId="6" borderId="92" xfId="4" applyNumberFormat="1" applyFont="1" applyFill="1" applyBorder="1" applyAlignment="1" applyProtection="1">
      <alignment horizontal="center" vertical="center"/>
    </xf>
    <xf numFmtId="0" fontId="8" fillId="0" borderId="43" xfId="0" applyFont="1" applyFill="1" applyBorder="1" applyAlignment="1" applyProtection="1">
      <alignment horizontal="right" vertical="center" readingOrder="2"/>
    </xf>
    <xf numFmtId="0" fontId="8" fillId="5" borderId="44" xfId="0" applyFont="1" applyFill="1" applyBorder="1" applyAlignment="1" applyProtection="1">
      <alignment horizontal="left" vertical="center" readingOrder="1"/>
    </xf>
    <xf numFmtId="0" fontId="8" fillId="0" borderId="43" xfId="0" applyFont="1" applyBorder="1" applyAlignment="1" applyProtection="1">
      <alignment horizontal="left" vertical="center" readingOrder="1"/>
    </xf>
    <xf numFmtId="0" fontId="6" fillId="5" borderId="43" xfId="0" applyFont="1" applyFill="1" applyBorder="1" applyAlignment="1" applyProtection="1">
      <alignment horizontal="left" vertical="center" readingOrder="1"/>
    </xf>
    <xf numFmtId="0" fontId="8" fillId="5" borderId="43" xfId="0" applyFont="1" applyFill="1" applyBorder="1" applyAlignment="1" applyProtection="1">
      <alignment horizontal="left" readingOrder="1"/>
    </xf>
    <xf numFmtId="0" fontId="8" fillId="5" borderId="40" xfId="0" applyFont="1" applyFill="1" applyBorder="1" applyAlignment="1" applyProtection="1">
      <alignment horizontal="left" vertical="center" readingOrder="1"/>
    </xf>
    <xf numFmtId="0" fontId="8" fillId="5" borderId="45" xfId="0" applyFont="1" applyFill="1" applyBorder="1" applyAlignment="1" applyProtection="1">
      <alignment horizontal="left" readingOrder="1"/>
    </xf>
    <xf numFmtId="0" fontId="7" fillId="5" borderId="43" xfId="0" applyFont="1" applyFill="1" applyBorder="1" applyAlignment="1" applyProtection="1">
      <alignment horizontal="left" readingOrder="1"/>
    </xf>
    <xf numFmtId="49" fontId="7" fillId="0" borderId="45" xfId="0" applyNumberFormat="1" applyFont="1" applyFill="1" applyBorder="1" applyAlignment="1" applyProtection="1">
      <alignment horizontal="left"/>
    </xf>
    <xf numFmtId="49" fontId="7" fillId="0" borderId="43" xfId="0" applyNumberFormat="1" applyFont="1" applyFill="1" applyBorder="1" applyAlignment="1" applyProtection="1">
      <alignment horizontal="left"/>
    </xf>
    <xf numFmtId="0" fontId="8" fillId="5" borderId="14" xfId="0" applyFont="1" applyFill="1" applyBorder="1" applyAlignment="1" applyProtection="1">
      <alignment horizontal="left" vertical="center" readingOrder="1"/>
    </xf>
    <xf numFmtId="0" fontId="7" fillId="0" borderId="43" xfId="0" applyFont="1" applyBorder="1" applyAlignment="1" applyProtection="1">
      <alignment horizontal="left" readingOrder="1"/>
    </xf>
    <xf numFmtId="0" fontId="8" fillId="5" borderId="65" xfId="0" applyFont="1" applyFill="1" applyBorder="1" applyAlignment="1" applyProtection="1">
      <alignment horizontal="left" vertical="center" readingOrder="1"/>
    </xf>
    <xf numFmtId="0" fontId="8" fillId="0" borderId="0" xfId="0" applyFont="1" applyBorder="1" applyAlignment="1" applyProtection="1">
      <alignment horizontal="left" vertical="center" readingOrder="1"/>
    </xf>
    <xf numFmtId="49" fontId="7" fillId="0" borderId="43" xfId="0" applyNumberFormat="1" applyFont="1" applyBorder="1" applyAlignment="1" applyProtection="1">
      <alignment horizontal="left"/>
    </xf>
    <xf numFmtId="0" fontId="8" fillId="5" borderId="20" xfId="0" applyFont="1" applyFill="1" applyBorder="1" applyAlignment="1" applyProtection="1">
      <alignment horizontal="left" vertical="center" readingOrder="1"/>
    </xf>
    <xf numFmtId="0" fontId="7" fillId="4" borderId="45" xfId="0" applyFont="1" applyFill="1" applyBorder="1" applyAlignment="1" applyProtection="1">
      <alignment horizontal="left" readingOrder="1"/>
    </xf>
    <xf numFmtId="0" fontId="8" fillId="0" borderId="15" xfId="0" applyFont="1" applyBorder="1" applyAlignment="1" applyProtection="1">
      <alignment horizontal="left" vertical="center" readingOrder="1"/>
    </xf>
    <xf numFmtId="0" fontId="6" fillId="5" borderId="40" xfId="0" applyFont="1" applyFill="1" applyBorder="1" applyAlignment="1" applyProtection="1">
      <alignment horizontal="left" vertical="center" readingOrder="1"/>
    </xf>
    <xf numFmtId="0" fontId="8" fillId="5" borderId="23" xfId="0" applyFont="1" applyFill="1" applyBorder="1" applyAlignment="1" applyProtection="1">
      <alignment horizontal="left" readingOrder="1"/>
    </xf>
    <xf numFmtId="49" fontId="7" fillId="0" borderId="14" xfId="0" applyNumberFormat="1" applyFont="1" applyBorder="1" applyAlignment="1" applyProtection="1">
      <alignment horizontal="left"/>
    </xf>
    <xf numFmtId="0" fontId="6" fillId="5" borderId="43" xfId="0" applyFont="1" applyFill="1" applyBorder="1" applyAlignment="1" applyProtection="1">
      <alignment horizontal="left" readingOrder="1"/>
    </xf>
    <xf numFmtId="49" fontId="7" fillId="0" borderId="43" xfId="0" applyNumberFormat="1" applyFont="1" applyBorder="1" applyAlignment="1" applyProtection="1">
      <alignment horizontal="left" vertical="center"/>
    </xf>
    <xf numFmtId="168" fontId="0" fillId="0" borderId="0" xfId="2" applyNumberFormat="1" applyFont="1"/>
    <xf numFmtId="0" fontId="7" fillId="5" borderId="4" xfId="2" applyNumberFormat="1" applyFont="1" applyFill="1" applyBorder="1" applyAlignment="1" applyProtection="1">
      <alignment horizontal="right" vertical="center" readingOrder="1"/>
    </xf>
    <xf numFmtId="0" fontId="8" fillId="5" borderId="14" xfId="0" applyFont="1" applyFill="1" applyBorder="1" applyAlignment="1" applyProtection="1">
      <alignment horizontal="left" readingOrder="1"/>
    </xf>
    <xf numFmtId="0" fontId="8" fillId="5" borderId="12" xfId="0" applyFont="1" applyFill="1" applyBorder="1" applyAlignment="1" applyProtection="1">
      <alignment horizontal="left" vertical="center" readingOrder="1"/>
    </xf>
    <xf numFmtId="49" fontId="7" fillId="0" borderId="15" xfId="0" applyNumberFormat="1" applyFont="1" applyBorder="1" applyAlignment="1" applyProtection="1">
      <alignment horizontal="left" vertical="center"/>
    </xf>
    <xf numFmtId="9" fontId="0" fillId="0" borderId="0" xfId="0" applyNumberFormat="1"/>
    <xf numFmtId="0" fontId="70" fillId="7" borderId="0" xfId="0" applyFont="1" applyFill="1"/>
    <xf numFmtId="0" fontId="7" fillId="8" borderId="4" xfId="0" applyFont="1" applyFill="1" applyBorder="1" applyAlignment="1">
      <alignment horizontal="center" vertical="center"/>
    </xf>
    <xf numFmtId="10" fontId="36" fillId="5" borderId="46" xfId="2" applyNumberFormat="1" applyFont="1" applyFill="1" applyBorder="1" applyAlignment="1" applyProtection="1">
      <alignment horizontal="center" vertical="center"/>
    </xf>
    <xf numFmtId="0" fontId="36" fillId="4" borderId="54" xfId="4" applyFont="1" applyFill="1" applyBorder="1" applyAlignment="1" applyProtection="1">
      <alignment horizontal="left" vertical="center"/>
    </xf>
    <xf numFmtId="0" fontId="7" fillId="8" borderId="0" xfId="0" applyFont="1" applyFill="1" applyBorder="1" applyAlignment="1">
      <alignment horizontal="center" vertical="center"/>
    </xf>
    <xf numFmtId="0" fontId="36" fillId="5" borderId="54" xfId="4" applyFont="1" applyFill="1" applyBorder="1" applyAlignment="1" applyProtection="1">
      <alignment horizontal="left" vertical="center"/>
    </xf>
    <xf numFmtId="168" fontId="36" fillId="5" borderId="53" xfId="2" applyNumberFormat="1" applyFont="1" applyFill="1" applyBorder="1" applyAlignment="1" applyProtection="1">
      <alignment horizontal="center" vertical="center"/>
    </xf>
    <xf numFmtId="0" fontId="2" fillId="0" borderId="0" xfId="17"/>
    <xf numFmtId="0" fontId="2" fillId="0" borderId="0" xfId="17" applyAlignment="1">
      <alignment horizontal="center" vertical="center"/>
    </xf>
    <xf numFmtId="0" fontId="2" fillId="0" borderId="0" xfId="17" quotePrefix="1" applyAlignment="1">
      <alignment horizontal="center" vertical="center"/>
    </xf>
    <xf numFmtId="0" fontId="2" fillId="7" borderId="0" xfId="17" applyFill="1"/>
    <xf numFmtId="9" fontId="2" fillId="0" borderId="0" xfId="17" applyNumberFormat="1"/>
    <xf numFmtId="9" fontId="0" fillId="0" borderId="0" xfId="18" applyFont="1"/>
    <xf numFmtId="14" fontId="2" fillId="0" borderId="0" xfId="17" applyNumberFormat="1"/>
    <xf numFmtId="0" fontId="66" fillId="0" borderId="0" xfId="17" applyFont="1"/>
    <xf numFmtId="0" fontId="72" fillId="0" borderId="0" xfId="19" applyAlignment="1">
      <alignment horizontal="center" vertical="center"/>
    </xf>
    <xf numFmtId="9" fontId="2" fillId="0" borderId="0" xfId="2" applyFont="1"/>
    <xf numFmtId="0" fontId="71" fillId="7" borderId="0" xfId="17" applyFont="1" applyFill="1"/>
    <xf numFmtId="0" fontId="73" fillId="7" borderId="0" xfId="0" applyFont="1" applyFill="1"/>
    <xf numFmtId="0" fontId="6" fillId="28" borderId="0" xfId="0" applyFont="1" applyFill="1"/>
    <xf numFmtId="0" fontId="1" fillId="0" borderId="0" xfId="17" applyFont="1"/>
    <xf numFmtId="0" fontId="74" fillId="30" borderId="105" xfId="0" applyFont="1" applyFill="1" applyBorder="1" applyAlignment="1">
      <alignment horizontal="left" vertical="top"/>
    </xf>
    <xf numFmtId="0" fontId="75" fillId="29" borderId="106" xfId="0" applyFont="1" applyFill="1" applyBorder="1" applyAlignment="1">
      <alignment horizontal="left" vertical="top" wrapText="1"/>
    </xf>
    <xf numFmtId="0" fontId="76" fillId="29" borderId="106" xfId="0" applyFont="1" applyFill="1" applyBorder="1" applyAlignment="1">
      <alignment horizontal="left" vertical="center" wrapText="1" indent="1"/>
    </xf>
    <xf numFmtId="0" fontId="75" fillId="31" borderId="106" xfId="0" applyFont="1" applyFill="1" applyBorder="1" applyAlignment="1">
      <alignment horizontal="left" vertical="top" wrapText="1"/>
    </xf>
    <xf numFmtId="0" fontId="76" fillId="31" borderId="106" xfId="0" applyFont="1" applyFill="1" applyBorder="1" applyAlignment="1">
      <alignment horizontal="left" vertical="center" wrapText="1" indent="1"/>
    </xf>
    <xf numFmtId="0" fontId="76" fillId="29" borderId="107" xfId="0" applyFont="1" applyFill="1" applyBorder="1" applyAlignment="1">
      <alignment horizontal="left" vertical="center" wrapText="1" indent="1"/>
    </xf>
    <xf numFmtId="0" fontId="75" fillId="29" borderId="108" xfId="0" applyFont="1" applyFill="1" applyBorder="1" applyAlignment="1">
      <alignment horizontal="left" vertical="top" wrapText="1"/>
    </xf>
    <xf numFmtId="0" fontId="76" fillId="29" borderId="108" xfId="0" applyFont="1" applyFill="1" applyBorder="1" applyAlignment="1">
      <alignment horizontal="left" vertical="center" wrapText="1" indent="1"/>
    </xf>
    <xf numFmtId="0" fontId="7" fillId="8" borderId="4" xfId="0" applyFont="1" applyFill="1" applyBorder="1" applyAlignment="1">
      <alignment horizontal="center" vertical="center"/>
    </xf>
    <xf numFmtId="0" fontId="66" fillId="0" borderId="0" xfId="15" applyFont="1"/>
    <xf numFmtId="0" fontId="73" fillId="0" borderId="0" xfId="0" applyFont="1"/>
    <xf numFmtId="43" fontId="39" fillId="5" borderId="0" xfId="1" applyNumberFormat="1" applyFont="1" applyFill="1" applyBorder="1" applyAlignment="1" applyProtection="1">
      <alignment horizontal="center" vertical="center"/>
      <protection locked="0"/>
    </xf>
    <xf numFmtId="43" fontId="39" fillId="7" borderId="4" xfId="1" applyNumberFormat="1" applyFont="1" applyFill="1" applyBorder="1" applyAlignment="1" applyProtection="1">
      <alignment horizontal="center" vertical="center"/>
      <protection locked="0"/>
    </xf>
    <xf numFmtId="0" fontId="77" fillId="0" borderId="0" xfId="17" applyFont="1"/>
    <xf numFmtId="169" fontId="2" fillId="0" borderId="0" xfId="1" applyNumberFormat="1" applyFont="1"/>
    <xf numFmtId="169" fontId="71" fillId="7" borderId="0" xfId="1" applyNumberFormat="1" applyFont="1" applyFill="1"/>
    <xf numFmtId="169" fontId="2" fillId="7" borderId="0" xfId="1" applyNumberFormat="1" applyFont="1" applyFill="1"/>
    <xf numFmtId="37" fontId="0" fillId="2" borderId="0" xfId="0" applyNumberFormat="1" applyFill="1" applyBorder="1" applyProtection="1"/>
    <xf numFmtId="43" fontId="6" fillId="0" borderId="4" xfId="1" applyNumberFormat="1" applyFont="1" applyFill="1" applyBorder="1" applyAlignment="1" applyProtection="1">
      <alignment horizontal="center" vertical="center"/>
      <protection locked="0"/>
    </xf>
    <xf numFmtId="9" fontId="0" fillId="0" borderId="0" xfId="2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71" fillId="7" borderId="0" xfId="17" applyFont="1" applyFill="1" applyAlignment="1">
      <alignment horizontal="center" vertical="center"/>
    </xf>
    <xf numFmtId="0" fontId="78" fillId="0" borderId="0" xfId="17" applyFont="1" applyAlignment="1">
      <alignment horizontal="center" vertical="center"/>
    </xf>
    <xf numFmtId="0" fontId="78" fillId="0" borderId="0" xfId="17" quotePrefix="1" applyFont="1" applyAlignment="1">
      <alignment horizontal="center" vertical="center"/>
    </xf>
    <xf numFmtId="0" fontId="0" fillId="7" borderId="67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71" fillId="7" borderId="0" xfId="17" applyFont="1" applyFill="1" applyAlignment="1">
      <alignment horizontal="center" vertical="center" wrapText="1"/>
    </xf>
    <xf numFmtId="0" fontId="2" fillId="0" borderId="0" xfId="17" applyAlignment="1">
      <alignment horizontal="center" vertical="center" wrapText="1"/>
    </xf>
    <xf numFmtId="3" fontId="22" fillId="6" borderId="69" xfId="0" applyNumberFormat="1" applyFont="1" applyFill="1" applyBorder="1" applyAlignment="1" applyProtection="1">
      <alignment horizontal="center" vertical="center"/>
    </xf>
    <xf numFmtId="3" fontId="22" fillId="6" borderId="4" xfId="0" applyNumberFormat="1" applyFont="1" applyFill="1" applyBorder="1" applyAlignment="1" applyProtection="1">
      <alignment horizontal="center" vertical="center"/>
    </xf>
    <xf numFmtId="37" fontId="22" fillId="6" borderId="69" xfId="0" applyNumberFormat="1" applyFont="1" applyFill="1" applyBorder="1" applyAlignment="1" applyProtection="1">
      <alignment horizontal="center" vertical="center"/>
    </xf>
    <xf numFmtId="37" fontId="22" fillId="6" borderId="4" xfId="0" applyNumberFormat="1" applyFont="1" applyFill="1" applyBorder="1" applyAlignment="1" applyProtection="1">
      <alignment horizontal="center" vertical="center"/>
    </xf>
    <xf numFmtId="0" fontId="34" fillId="6" borderId="0" xfId="0" applyFont="1" applyFill="1" applyBorder="1" applyAlignment="1" applyProtection="1">
      <alignment horizontal="center" vertical="center"/>
    </xf>
    <xf numFmtId="49" fontId="7" fillId="0" borderId="16" xfId="0" applyNumberFormat="1" applyFont="1" applyBorder="1" applyAlignment="1" applyProtection="1">
      <alignment horizontal="left" vertical="center"/>
    </xf>
    <xf numFmtId="49" fontId="7" fillId="0" borderId="18" xfId="0" applyNumberFormat="1" applyFont="1" applyBorder="1" applyAlignment="1" applyProtection="1">
      <alignment horizontal="left" vertical="center"/>
    </xf>
    <xf numFmtId="49" fontId="7" fillId="0" borderId="17" xfId="0" applyNumberFormat="1" applyFont="1" applyBorder="1" applyAlignment="1" applyProtection="1">
      <alignment horizontal="left" vertical="center"/>
    </xf>
    <xf numFmtId="49" fontId="7" fillId="0" borderId="16" xfId="0" applyNumberFormat="1" applyFont="1" applyBorder="1" applyAlignment="1" applyProtection="1">
      <alignment horizontal="left"/>
    </xf>
    <xf numFmtId="49" fontId="7" fillId="0" borderId="18" xfId="0" applyNumberFormat="1" applyFont="1" applyBorder="1" applyAlignment="1" applyProtection="1">
      <alignment horizontal="left"/>
    </xf>
    <xf numFmtId="49" fontId="7" fillId="0" borderId="17" xfId="0" applyNumberFormat="1" applyFont="1" applyBorder="1" applyAlignment="1" applyProtection="1">
      <alignment horizontal="left"/>
    </xf>
    <xf numFmtId="0" fontId="6" fillId="5" borderId="16" xfId="0" applyFont="1" applyFill="1" applyBorder="1" applyAlignment="1" applyProtection="1">
      <alignment horizontal="left" vertical="center" readingOrder="1"/>
    </xf>
    <xf numFmtId="0" fontId="8" fillId="5" borderId="18" xfId="0" applyFont="1" applyFill="1" applyBorder="1" applyAlignment="1" applyProtection="1">
      <alignment horizontal="left" vertical="center" readingOrder="1"/>
    </xf>
    <xf numFmtId="0" fontId="8" fillId="5" borderId="17" xfId="0" applyFont="1" applyFill="1" applyBorder="1" applyAlignment="1" applyProtection="1">
      <alignment horizontal="left" vertical="center" readingOrder="1"/>
    </xf>
    <xf numFmtId="0" fontId="8" fillId="5" borderId="16" xfId="0" applyFont="1" applyFill="1" applyBorder="1" applyAlignment="1" applyProtection="1">
      <alignment horizontal="left" vertical="center" readingOrder="1"/>
    </xf>
    <xf numFmtId="164" fontId="12" fillId="6" borderId="69" xfId="0" applyNumberFormat="1" applyFont="1" applyFill="1" applyBorder="1" applyAlignment="1" applyProtection="1">
      <alignment horizontal="center" vertical="center"/>
    </xf>
    <xf numFmtId="164" fontId="12" fillId="6" borderId="4" xfId="0" applyNumberFormat="1" applyFont="1" applyFill="1" applyBorder="1" applyAlignment="1" applyProtection="1">
      <alignment horizontal="center" vertical="center"/>
    </xf>
    <xf numFmtId="164" fontId="7" fillId="6" borderId="42" xfId="0" applyNumberFormat="1" applyFont="1" applyFill="1" applyBorder="1" applyAlignment="1" applyProtection="1">
      <alignment horizontal="center" vertical="center"/>
    </xf>
    <xf numFmtId="164" fontId="7" fillId="6" borderId="7" xfId="0" applyNumberFormat="1" applyFont="1" applyFill="1" applyBorder="1" applyAlignment="1" applyProtection="1">
      <alignment horizontal="center" vertical="center"/>
    </xf>
    <xf numFmtId="164" fontId="7" fillId="6" borderId="61" xfId="0" applyNumberFormat="1" applyFont="1" applyFill="1" applyBorder="1" applyAlignment="1" applyProtection="1">
      <alignment horizontal="center" vertical="center"/>
    </xf>
    <xf numFmtId="164" fontId="7" fillId="6" borderId="60" xfId="0" applyNumberFormat="1" applyFont="1" applyFill="1" applyBorder="1" applyAlignment="1" applyProtection="1">
      <alignment horizontal="center" vertical="center"/>
    </xf>
    <xf numFmtId="49" fontId="8" fillId="6" borderId="68" xfId="0" applyNumberFormat="1" applyFont="1" applyFill="1" applyBorder="1" applyAlignment="1" applyProtection="1">
      <alignment horizontal="center"/>
    </xf>
    <xf numFmtId="49" fontId="8" fillId="6" borderId="69" xfId="0" applyNumberFormat="1" applyFont="1" applyFill="1" applyBorder="1" applyAlignment="1" applyProtection="1">
      <alignment horizontal="center"/>
    </xf>
    <xf numFmtId="49" fontId="8" fillId="6" borderId="70" xfId="0" applyNumberFormat="1" applyFont="1" applyFill="1" applyBorder="1" applyAlignment="1" applyProtection="1">
      <alignment horizontal="center"/>
    </xf>
    <xf numFmtId="49" fontId="8" fillId="6" borderId="4" xfId="0" applyNumberFormat="1" applyFont="1" applyFill="1" applyBorder="1" applyAlignment="1" applyProtection="1">
      <alignment horizontal="center"/>
    </xf>
    <xf numFmtId="49" fontId="7" fillId="0" borderId="16" xfId="0" applyNumberFormat="1" applyFont="1" applyFill="1" applyBorder="1" applyAlignment="1" applyProtection="1">
      <alignment horizontal="left"/>
    </xf>
    <xf numFmtId="49" fontId="7" fillId="0" borderId="18" xfId="0" applyNumberFormat="1" applyFont="1" applyFill="1" applyBorder="1" applyAlignment="1" applyProtection="1">
      <alignment horizontal="left"/>
    </xf>
    <xf numFmtId="49" fontId="7" fillId="0" borderId="17" xfId="0" applyNumberFormat="1" applyFont="1" applyFill="1" applyBorder="1" applyAlignment="1" applyProtection="1">
      <alignment horizontal="left"/>
    </xf>
    <xf numFmtId="37" fontId="7" fillId="6" borderId="2" xfId="0" applyNumberFormat="1" applyFont="1" applyFill="1" applyBorder="1" applyAlignment="1" applyProtection="1">
      <alignment horizontal="center" vertical="center"/>
    </xf>
    <xf numFmtId="37" fontId="7" fillId="6" borderId="76" xfId="0" applyNumberFormat="1" applyFont="1" applyFill="1" applyBorder="1" applyAlignment="1" applyProtection="1">
      <alignment horizontal="center" vertical="center"/>
    </xf>
    <xf numFmtId="3" fontId="7" fillId="0" borderId="5" xfId="0" applyNumberFormat="1" applyFont="1" applyFill="1" applyBorder="1" applyAlignment="1" applyProtection="1">
      <alignment horizontal="left" vertical="center"/>
    </xf>
    <xf numFmtId="3" fontId="7" fillId="0" borderId="6" xfId="0" applyNumberFormat="1" applyFont="1" applyFill="1" applyBorder="1" applyAlignment="1" applyProtection="1">
      <alignment horizontal="left" vertical="center"/>
    </xf>
    <xf numFmtId="3" fontId="7" fillId="0" borderId="11" xfId="0" applyNumberFormat="1" applyFont="1" applyFill="1" applyBorder="1" applyAlignment="1" applyProtection="1">
      <alignment horizontal="left" vertical="center"/>
    </xf>
    <xf numFmtId="164" fontId="7" fillId="0" borderId="40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Border="1" applyAlignment="1" applyProtection="1">
      <alignment horizontal="center"/>
    </xf>
    <xf numFmtId="0" fontId="8" fillId="5" borderId="43" xfId="0" applyFont="1" applyFill="1" applyBorder="1" applyAlignment="1" applyProtection="1">
      <alignment horizontal="left" vertical="center" readingOrder="1"/>
    </xf>
    <xf numFmtId="0" fontId="7" fillId="5" borderId="43" xfId="0" applyFont="1" applyFill="1" applyBorder="1" applyAlignment="1" applyProtection="1">
      <alignment horizontal="left" vertical="center" readingOrder="1"/>
    </xf>
    <xf numFmtId="0" fontId="7" fillId="5" borderId="18" xfId="0" applyFont="1" applyFill="1" applyBorder="1" applyAlignment="1" applyProtection="1">
      <alignment horizontal="left" vertical="center" readingOrder="1"/>
    </xf>
    <xf numFmtId="0" fontId="7" fillId="5" borderId="17" xfId="0" applyFont="1" applyFill="1" applyBorder="1" applyAlignment="1" applyProtection="1">
      <alignment horizontal="left" vertical="center" readingOrder="1"/>
    </xf>
    <xf numFmtId="0" fontId="7" fillId="0" borderId="43" xfId="0" applyFont="1" applyBorder="1" applyAlignment="1" applyProtection="1">
      <alignment horizontal="left" vertical="center" readingOrder="1"/>
    </xf>
    <xf numFmtId="0" fontId="7" fillId="0" borderId="18" xfId="0" applyFont="1" applyBorder="1" applyAlignment="1" applyProtection="1">
      <alignment horizontal="left" vertical="center" readingOrder="1"/>
    </xf>
    <xf numFmtId="0" fontId="7" fillId="0" borderId="17" xfId="0" applyFont="1" applyBorder="1" applyAlignment="1" applyProtection="1">
      <alignment horizontal="left" vertical="center" readingOrder="1"/>
    </xf>
    <xf numFmtId="49" fontId="8" fillId="6" borderId="1" xfId="0" applyNumberFormat="1" applyFont="1" applyFill="1" applyBorder="1" applyAlignment="1" applyProtection="1">
      <alignment horizontal="center"/>
    </xf>
    <xf numFmtId="49" fontId="8" fillId="6" borderId="3" xfId="0" applyNumberFormat="1" applyFont="1" applyFill="1" applyBorder="1" applyAlignment="1" applyProtection="1">
      <alignment horizontal="center"/>
    </xf>
    <xf numFmtId="49" fontId="8" fillId="6" borderId="5" xfId="0" applyNumberFormat="1" applyFont="1" applyFill="1" applyBorder="1" applyAlignment="1" applyProtection="1">
      <alignment horizontal="center"/>
    </xf>
    <xf numFmtId="164" fontId="12" fillId="6" borderId="68" xfId="0" applyNumberFormat="1" applyFont="1" applyFill="1" applyBorder="1" applyAlignment="1" applyProtection="1">
      <alignment horizontal="center" vertical="center"/>
    </xf>
    <xf numFmtId="164" fontId="12" fillId="6" borderId="70" xfId="0" applyNumberFormat="1" applyFont="1" applyFill="1" applyBorder="1" applyAlignment="1" applyProtection="1">
      <alignment horizontal="center" vertical="center"/>
    </xf>
    <xf numFmtId="37" fontId="7" fillId="6" borderId="71" xfId="0" applyNumberFormat="1" applyFont="1" applyFill="1" applyBorder="1" applyAlignment="1" applyProtection="1">
      <alignment horizontal="center" vertical="center"/>
    </xf>
    <xf numFmtId="37" fontId="7" fillId="6" borderId="72" xfId="0" applyNumberFormat="1" applyFont="1" applyFill="1" applyBorder="1" applyAlignment="1" applyProtection="1">
      <alignment horizontal="center" vertical="center"/>
    </xf>
    <xf numFmtId="164" fontId="7" fillId="6" borderId="8" xfId="0" applyNumberFormat="1" applyFont="1" applyFill="1" applyBorder="1" applyAlignment="1" applyProtection="1">
      <alignment horizontal="center" vertical="center"/>
    </xf>
    <xf numFmtId="164" fontId="7" fillId="6" borderId="56" xfId="0" applyNumberFormat="1" applyFont="1" applyFill="1" applyBorder="1" applyAlignment="1" applyProtection="1">
      <alignment horizontal="center" vertical="center"/>
    </xf>
    <xf numFmtId="164" fontId="7" fillId="6" borderId="75" xfId="0" applyNumberFormat="1" applyFont="1" applyFill="1" applyBorder="1" applyAlignment="1" applyProtection="1">
      <alignment horizontal="center" vertical="center"/>
    </xf>
    <xf numFmtId="164" fontId="7" fillId="6" borderId="26" xfId="0" applyNumberFormat="1" applyFont="1" applyFill="1" applyBorder="1" applyAlignment="1" applyProtection="1">
      <alignment horizontal="center" vertical="center"/>
    </xf>
    <xf numFmtId="165" fontId="7" fillId="6" borderId="2" xfId="0" applyNumberFormat="1" applyFont="1" applyFill="1" applyBorder="1" applyAlignment="1" applyProtection="1">
      <alignment horizontal="center" vertical="center"/>
    </xf>
    <xf numFmtId="165" fontId="7" fillId="6" borderId="1" xfId="0" applyNumberFormat="1" applyFont="1" applyFill="1" applyBorder="1" applyAlignment="1" applyProtection="1">
      <alignment horizontal="center" vertical="center"/>
    </xf>
    <xf numFmtId="164" fontId="12" fillId="6" borderId="10" xfId="0" applyNumberFormat="1" applyFont="1" applyFill="1" applyBorder="1" applyAlignment="1" applyProtection="1">
      <alignment horizontal="center" vertical="center"/>
    </xf>
    <xf numFmtId="164" fontId="12" fillId="6" borderId="11" xfId="0" applyNumberFormat="1" applyFont="1" applyFill="1" applyBorder="1" applyAlignment="1" applyProtection="1">
      <alignment horizontal="center" vertical="center"/>
    </xf>
    <xf numFmtId="3" fontId="22" fillId="6" borderId="67" xfId="0" applyNumberFormat="1" applyFont="1" applyFill="1" applyBorder="1" applyAlignment="1" applyProtection="1">
      <alignment horizontal="center" vertical="center" wrapText="1"/>
    </xf>
    <xf numFmtId="3" fontId="22" fillId="6" borderId="0" xfId="0" applyNumberFormat="1" applyFont="1" applyFill="1" applyBorder="1" applyAlignment="1" applyProtection="1">
      <alignment horizontal="center" vertical="center" wrapText="1"/>
    </xf>
    <xf numFmtId="3" fontId="22" fillId="6" borderId="3" xfId="0" applyNumberFormat="1" applyFont="1" applyFill="1" applyBorder="1" applyAlignment="1" applyProtection="1">
      <alignment horizontal="center" vertical="center" wrapText="1"/>
    </xf>
    <xf numFmtId="3" fontId="22" fillId="6" borderId="9" xfId="0" applyNumberFormat="1" applyFont="1" applyFill="1" applyBorder="1" applyAlignment="1" applyProtection="1">
      <alignment horizontal="center" vertical="center" wrapText="1"/>
    </xf>
    <xf numFmtId="164" fontId="7" fillId="6" borderId="42" xfId="0" applyNumberFormat="1" applyFont="1" applyFill="1" applyBorder="1" applyAlignment="1" applyProtection="1">
      <alignment horizontal="center"/>
    </xf>
    <xf numFmtId="164" fontId="7" fillId="6" borderId="7" xfId="0" applyNumberFormat="1" applyFont="1" applyFill="1" applyBorder="1" applyAlignment="1" applyProtection="1">
      <alignment horizontal="center"/>
    </xf>
    <xf numFmtId="0" fontId="7" fillId="6" borderId="2" xfId="0" applyNumberFormat="1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7" fillId="6" borderId="30" xfId="0" applyNumberFormat="1" applyFont="1" applyFill="1" applyBorder="1" applyAlignment="1" applyProtection="1">
      <alignment horizontal="center" vertical="center"/>
    </xf>
    <xf numFmtId="0" fontId="7" fillId="6" borderId="31" xfId="0" applyNumberFormat="1" applyFont="1" applyFill="1" applyBorder="1" applyAlignment="1" applyProtection="1">
      <alignment horizontal="center" vertical="center"/>
    </xf>
    <xf numFmtId="37" fontId="39" fillId="6" borderId="2" xfId="0" applyNumberFormat="1" applyFont="1" applyFill="1" applyBorder="1" applyAlignment="1" applyProtection="1">
      <alignment horizontal="right" vertical="center"/>
    </xf>
    <xf numFmtId="37" fontId="39" fillId="6" borderId="1" xfId="0" applyNumberFormat="1" applyFont="1" applyFill="1" applyBorder="1" applyAlignment="1" applyProtection="1">
      <alignment horizontal="right" vertical="center"/>
    </xf>
    <xf numFmtId="164" fontId="7" fillId="6" borderId="41" xfId="0" applyNumberFormat="1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center"/>
    </xf>
    <xf numFmtId="3" fontId="7" fillId="0" borderId="5" xfId="0" applyNumberFormat="1" applyFont="1" applyFill="1" applyBorder="1" applyAlignment="1" applyProtection="1">
      <alignment horizontal="center" vertical="center"/>
    </xf>
    <xf numFmtId="3" fontId="7" fillId="0" borderId="6" xfId="0" applyNumberFormat="1" applyFont="1" applyFill="1" applyBorder="1" applyAlignment="1" applyProtection="1">
      <alignment horizontal="center" vertical="center"/>
    </xf>
    <xf numFmtId="0" fontId="8" fillId="5" borderId="16" xfId="0" applyFont="1" applyFill="1" applyBorder="1" applyAlignment="1" applyProtection="1">
      <alignment horizontal="left" readingOrder="1"/>
    </xf>
    <xf numFmtId="0" fontId="8" fillId="5" borderId="18" xfId="0" applyFont="1" applyFill="1" applyBorder="1" applyAlignment="1" applyProtection="1">
      <alignment horizontal="left" readingOrder="1"/>
    </xf>
    <xf numFmtId="0" fontId="8" fillId="5" borderId="17" xfId="0" applyFont="1" applyFill="1" applyBorder="1" applyAlignment="1" applyProtection="1">
      <alignment horizontal="left" readingOrder="1"/>
    </xf>
    <xf numFmtId="0" fontId="8" fillId="5" borderId="15" xfId="0" applyFont="1" applyFill="1" applyBorder="1" applyAlignment="1" applyProtection="1">
      <alignment horizontal="left" vertical="center" readingOrder="1"/>
    </xf>
    <xf numFmtId="0" fontId="6" fillId="5" borderId="16" xfId="0" applyFont="1" applyFill="1" applyBorder="1" applyAlignment="1" applyProtection="1">
      <alignment horizontal="left" readingOrder="1"/>
    </xf>
    <xf numFmtId="0" fontId="8" fillId="0" borderId="16" xfId="0" applyFont="1" applyBorder="1" applyAlignment="1" applyProtection="1">
      <alignment horizontal="left" vertical="center" readingOrder="1"/>
    </xf>
    <xf numFmtId="0" fontId="8" fillId="0" borderId="18" xfId="0" applyFont="1" applyBorder="1" applyAlignment="1" applyProtection="1">
      <alignment horizontal="left" vertical="center" readingOrder="1"/>
    </xf>
    <xf numFmtId="0" fontId="8" fillId="0" borderId="17" xfId="0" applyFont="1" applyBorder="1" applyAlignment="1" applyProtection="1">
      <alignment horizontal="left" vertical="center" readingOrder="1"/>
    </xf>
    <xf numFmtId="0" fontId="7" fillId="5" borderId="16" xfId="0" applyFont="1" applyFill="1" applyBorder="1" applyAlignment="1" applyProtection="1">
      <alignment horizontal="left" readingOrder="1"/>
    </xf>
    <xf numFmtId="0" fontId="7" fillId="5" borderId="18" xfId="0" applyFont="1" applyFill="1" applyBorder="1" applyAlignment="1" applyProtection="1">
      <alignment horizontal="left" readingOrder="1"/>
    </xf>
    <xf numFmtId="0" fontId="7" fillId="5" borderId="17" xfId="0" applyFont="1" applyFill="1" applyBorder="1" applyAlignment="1" applyProtection="1">
      <alignment horizontal="left" readingOrder="1"/>
    </xf>
    <xf numFmtId="0" fontId="6" fillId="5" borderId="18" xfId="0" applyFont="1" applyFill="1" applyBorder="1" applyAlignment="1" applyProtection="1">
      <alignment horizontal="left" vertical="center" readingOrder="1"/>
    </xf>
    <xf numFmtId="0" fontId="6" fillId="5" borderId="17" xfId="0" applyFont="1" applyFill="1" applyBorder="1" applyAlignment="1" applyProtection="1">
      <alignment horizontal="left" vertical="center" readingOrder="1"/>
    </xf>
    <xf numFmtId="0" fontId="35" fillId="6" borderId="50" xfId="4" applyFont="1" applyFill="1" applyBorder="1" applyAlignment="1" applyProtection="1">
      <alignment horizontal="center" vertical="center"/>
    </xf>
    <xf numFmtId="0" fontId="35" fillId="6" borderId="49" xfId="4" applyFont="1" applyFill="1" applyBorder="1" applyAlignment="1" applyProtection="1">
      <alignment horizontal="center" vertical="center"/>
    </xf>
    <xf numFmtId="0" fontId="35" fillId="6" borderId="62" xfId="4" applyFont="1" applyFill="1" applyBorder="1" applyAlignment="1" applyProtection="1">
      <alignment horizontal="center" vertical="center"/>
    </xf>
    <xf numFmtId="0" fontId="35" fillId="6" borderId="28" xfId="4" applyFont="1" applyFill="1" applyBorder="1" applyAlignment="1" applyProtection="1">
      <alignment horizontal="center" vertical="center"/>
    </xf>
    <xf numFmtId="0" fontId="35" fillId="6" borderId="61" xfId="4" applyFont="1" applyFill="1" applyBorder="1" applyAlignment="1" applyProtection="1">
      <alignment horizontal="center" vertical="center"/>
    </xf>
    <xf numFmtId="0" fontId="35" fillId="6" borderId="25" xfId="4" applyFont="1" applyFill="1" applyBorder="1" applyAlignment="1" applyProtection="1">
      <alignment horizontal="center" vertical="center"/>
    </xf>
    <xf numFmtId="37" fontId="68" fillId="23" borderId="19" xfId="1" applyNumberFormat="1" applyFont="1" applyFill="1" applyBorder="1" applyAlignment="1">
      <alignment horizontal="center" vertical="center" wrapText="1"/>
    </xf>
    <xf numFmtId="0" fontId="68" fillId="23" borderId="0" xfId="1" applyNumberFormat="1" applyFont="1" applyFill="1" applyAlignment="1">
      <alignment horizontal="center" vertical="center"/>
    </xf>
    <xf numFmtId="0" fontId="68" fillId="27" borderId="0" xfId="0" applyFont="1" applyFill="1" applyAlignment="1">
      <alignment horizontal="center" vertical="center"/>
    </xf>
    <xf numFmtId="0" fontId="66" fillId="21" borderId="0" xfId="15" applyFont="1" applyFill="1" applyAlignment="1">
      <alignment horizontal="center" vertical="center"/>
    </xf>
    <xf numFmtId="0" fontId="67" fillId="19" borderId="0" xfId="15" applyFont="1" applyFill="1" applyAlignment="1">
      <alignment horizontal="center" vertical="center" wrapText="1"/>
    </xf>
    <xf numFmtId="0" fontId="67" fillId="7" borderId="0" xfId="15" applyFont="1" applyFill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/>
    </xf>
    <xf numFmtId="0" fontId="68" fillId="23" borderId="0" xfId="0" applyFont="1" applyFill="1" applyAlignment="1">
      <alignment horizontal="left" vertical="center"/>
    </xf>
    <xf numFmtId="0" fontId="43" fillId="15" borderId="96" xfId="9" applyFont="1" applyFill="1" applyBorder="1" applyAlignment="1">
      <alignment horizontal="center" vertical="center" wrapText="1" readingOrder="1"/>
    </xf>
    <xf numFmtId="0" fontId="43" fillId="15" borderId="97" xfId="9" applyFont="1" applyFill="1" applyBorder="1" applyAlignment="1">
      <alignment horizontal="center" vertical="center" wrapText="1" readingOrder="1"/>
    </xf>
    <xf numFmtId="169" fontId="41" fillId="16" borderId="83" xfId="7" applyNumberFormat="1" applyFont="1" applyFill="1" applyBorder="1" applyAlignment="1">
      <alignment horizontal="center" vertical="center" wrapText="1"/>
    </xf>
    <xf numFmtId="169" fontId="41" fillId="16" borderId="84" xfId="7" applyNumberFormat="1" applyFont="1" applyFill="1" applyBorder="1" applyAlignment="1">
      <alignment horizontal="center" vertical="center" wrapText="1"/>
    </xf>
    <xf numFmtId="169" fontId="41" fillId="16" borderId="81" xfId="7" applyNumberFormat="1" applyFont="1" applyFill="1" applyBorder="1" applyAlignment="1">
      <alignment horizontal="center" vertical="center" wrapText="1"/>
    </xf>
    <xf numFmtId="169" fontId="41" fillId="15" borderId="81" xfId="7" applyNumberFormat="1" applyFont="1" applyFill="1" applyBorder="1" applyAlignment="1">
      <alignment horizontal="center" vertical="center" wrapText="1"/>
    </xf>
    <xf numFmtId="169" fontId="41" fillId="15" borderId="12" xfId="7" applyNumberFormat="1" applyFont="1" applyFill="1" applyBorder="1" applyAlignment="1">
      <alignment horizontal="center" vertical="center" wrapText="1"/>
    </xf>
    <xf numFmtId="169" fontId="41" fillId="15" borderId="82" xfId="7" applyNumberFormat="1" applyFont="1" applyFill="1" applyBorder="1" applyAlignment="1">
      <alignment horizontal="center" vertical="center" wrapText="1"/>
    </xf>
    <xf numFmtId="169" fontId="41" fillId="15" borderId="19" xfId="7" applyNumberFormat="1" applyFont="1" applyFill="1" applyBorder="1" applyAlignment="1">
      <alignment horizontal="center" vertical="center" wrapText="1"/>
    </xf>
    <xf numFmtId="169" fontId="45" fillId="12" borderId="80" xfId="7" applyNumberFormat="1" applyFont="1" applyFill="1" applyBorder="1" applyAlignment="1">
      <alignment horizontal="left" vertical="center"/>
    </xf>
    <xf numFmtId="169" fontId="45" fillId="12" borderId="77" xfId="7" applyNumberFormat="1" applyFont="1" applyFill="1" applyBorder="1" applyAlignment="1">
      <alignment horizontal="left" vertical="center"/>
    </xf>
    <xf numFmtId="169" fontId="45" fillId="12" borderId="80" xfId="7" applyNumberFormat="1" applyFont="1" applyFill="1" applyBorder="1" applyAlignment="1">
      <alignment horizontal="center" vertical="center"/>
    </xf>
    <xf numFmtId="169" fontId="45" fillId="12" borderId="77" xfId="7" applyNumberFormat="1" applyFont="1" applyFill="1" applyBorder="1" applyAlignment="1">
      <alignment horizontal="center" vertical="center"/>
    </xf>
    <xf numFmtId="169" fontId="45" fillId="12" borderId="80" xfId="7" applyNumberFormat="1" applyFont="1" applyFill="1" applyBorder="1" applyAlignment="1">
      <alignment horizontal="center"/>
    </xf>
    <xf numFmtId="169" fontId="45" fillId="12" borderId="77" xfId="7" applyNumberFormat="1" applyFont="1" applyFill="1" applyBorder="1" applyAlignment="1">
      <alignment horizontal="center"/>
    </xf>
    <xf numFmtId="37" fontId="37" fillId="10" borderId="5" xfId="4" applyNumberFormat="1" applyFont="1" applyFill="1" applyBorder="1" applyAlignment="1">
      <alignment horizontal="center"/>
    </xf>
    <xf numFmtId="0" fontId="37" fillId="10" borderId="6" xfId="4" applyFont="1" applyFill="1" applyBorder="1" applyAlignment="1">
      <alignment horizontal="center"/>
    </xf>
    <xf numFmtId="0" fontId="37" fillId="10" borderId="11" xfId="4" applyFont="1" applyFill="1" applyBorder="1" applyAlignment="1">
      <alignment horizontal="center"/>
    </xf>
    <xf numFmtId="169" fontId="41" fillId="15" borderId="80" xfId="7" applyNumberFormat="1" applyFont="1" applyFill="1" applyBorder="1" applyAlignment="1">
      <alignment horizontal="center" vertical="center"/>
    </xf>
    <xf numFmtId="169" fontId="41" fillId="15" borderId="77" xfId="7" applyNumberFormat="1" applyFont="1" applyFill="1" applyBorder="1" applyAlignment="1">
      <alignment horizontal="center" vertical="center"/>
    </xf>
    <xf numFmtId="169" fontId="41" fillId="15" borderId="80" xfId="7" applyNumberFormat="1" applyFont="1" applyFill="1" applyBorder="1" applyAlignment="1">
      <alignment horizontal="center" vertical="center" wrapText="1"/>
    </xf>
    <xf numFmtId="169" fontId="41" fillId="15" borderId="77" xfId="7" applyNumberFormat="1" applyFont="1" applyFill="1" applyBorder="1" applyAlignment="1">
      <alignment horizontal="center" vertical="center" wrapText="1"/>
    </xf>
    <xf numFmtId="0" fontId="75" fillId="29" borderId="106" xfId="0" applyFont="1" applyFill="1" applyBorder="1" applyAlignment="1">
      <alignment horizontal="left" vertical="top" wrapText="1"/>
    </xf>
    <xf numFmtId="0" fontId="75" fillId="29" borderId="107" xfId="0" applyFont="1" applyFill="1" applyBorder="1" applyAlignment="1">
      <alignment horizontal="left" vertical="top" wrapText="1"/>
    </xf>
    <xf numFmtId="0" fontId="75" fillId="29" borderId="109" xfId="0" applyFont="1" applyFill="1" applyBorder="1" applyAlignment="1">
      <alignment horizontal="left" vertical="top" wrapText="1"/>
    </xf>
    <xf numFmtId="0" fontId="51" fillId="0" borderId="0" xfId="10" applyFont="1" applyAlignment="1">
      <alignment horizontal="center"/>
    </xf>
    <xf numFmtId="0" fontId="55" fillId="0" borderId="0" xfId="9" applyFont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</cellXfs>
  <cellStyles count="20">
    <cellStyle name="Comma" xfId="1" builtinId="3"/>
    <cellStyle name="Comma 2" xfId="7" xr:uid="{00000000-0005-0000-0000-000001000000}"/>
    <cellStyle name="Comma 3" xfId="12" xr:uid="{00000000-0005-0000-0000-000002000000}"/>
    <cellStyle name="Hyperlink 2" xfId="19" xr:uid="{00000000-0005-0000-0000-000003000000}"/>
    <cellStyle name="Normal" xfId="0" builtinId="0"/>
    <cellStyle name="Normal 2" xfId="4" xr:uid="{00000000-0005-0000-0000-000005000000}"/>
    <cellStyle name="Normal 2 2" xfId="10" xr:uid="{00000000-0005-0000-0000-000006000000}"/>
    <cellStyle name="Normal 3" xfId="6" xr:uid="{00000000-0005-0000-0000-000007000000}"/>
    <cellStyle name="Normal 4" xfId="9" xr:uid="{00000000-0005-0000-0000-000008000000}"/>
    <cellStyle name="Normal 5" xfId="11" xr:uid="{00000000-0005-0000-0000-000009000000}"/>
    <cellStyle name="Normal 6" xfId="13" xr:uid="{00000000-0005-0000-0000-00000A000000}"/>
    <cellStyle name="Normal 7" xfId="15" xr:uid="{00000000-0005-0000-0000-00000B000000}"/>
    <cellStyle name="Normal 8" xfId="17" xr:uid="{00000000-0005-0000-0000-00000C000000}"/>
    <cellStyle name="Percent" xfId="2" builtinId="5"/>
    <cellStyle name="Percent 2" xfId="3" xr:uid="{00000000-0005-0000-0000-00000E000000}"/>
    <cellStyle name="Percent 2 2" xfId="5" xr:uid="{00000000-0005-0000-0000-00000F000000}"/>
    <cellStyle name="Percent 3" xfId="8" xr:uid="{00000000-0005-0000-0000-000010000000}"/>
    <cellStyle name="Percent 4" xfId="14" xr:uid="{00000000-0005-0000-0000-000011000000}"/>
    <cellStyle name="Percent 5" xfId="16" xr:uid="{00000000-0005-0000-0000-000012000000}"/>
    <cellStyle name="Percent 6" xfId="18" xr:uid="{00000000-0005-0000-0000-000013000000}"/>
  </cellStyles>
  <dxfs count="2"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FFFFCC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4.xml"/><Relationship Id="rId25" Type="http://schemas.openxmlformats.org/officeDocument/2006/relationships/worksheet" Target="worksheets/sheet16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chartsheet" Target="chartsheets/sheet7.xml"/><Relationship Id="rId29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15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6.xml"/><Relationship Id="rId31" Type="http://schemas.openxmlformats.org/officeDocument/2006/relationships/worksheet" Target="worksheets/sheet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hartsheet" Target="chartsheets/sheet9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Stament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VS. P'!$E$1</c:f>
              <c:strCache>
                <c:ptCount val="1"/>
                <c:pt idx="0">
                  <c:v>Progress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D8AB58-6600-4BC7-9FD7-1085E3A3C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B2-4B52-A150-95CEBD3FED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866C41-AEDB-4D10-AD34-521ED1E46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B2-4B52-A150-95CEBD3FED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B0C650-E2C5-44F2-82DF-1D27F7E0F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B2-4B52-A150-95CEBD3FE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'BP VS. P'!$A$2:$A$4</c:f>
              <c:strCache>
                <c:ptCount val="3"/>
                <c:pt idx="0">
                  <c:v>Net sales</c:v>
                </c:pt>
                <c:pt idx="1">
                  <c:v>Cost of goods sold</c:v>
                </c:pt>
                <c:pt idx="2">
                  <c:v>Depreciation COGS</c:v>
                </c:pt>
              </c:strCache>
            </c:strRef>
          </c:cat>
          <c:val>
            <c:numRef>
              <c:f>'BP VS. P'!$E$2:$E$4</c:f>
              <c:numCache>
                <c:formatCode>0%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1.3333333333333333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'BP VS. P'!$D$2:$D$4</c15:f>
                <c15:dlblRangeCache>
                  <c:ptCount val="3"/>
                  <c:pt idx="0">
                    <c:v>90</c:v>
                  </c:pt>
                  <c:pt idx="1">
                    <c:v>40</c:v>
                  </c:pt>
                  <c:pt idx="2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B2-4B52-A150-95CEBD3F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099791"/>
        <c:axId val="1352405599"/>
      </c:barChart>
      <c:catAx>
        <c:axId val="13490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05599"/>
        <c:crosses val="autoZero"/>
        <c:auto val="1"/>
        <c:lblAlgn val="ctr"/>
        <c:lblOffset val="100"/>
        <c:noMultiLvlLbl val="0"/>
      </c:catAx>
      <c:valAx>
        <c:axId val="13524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Net</a:t>
            </a:r>
            <a:r>
              <a:rPr lang="en-US" baseline="0"/>
              <a:t> Debt and Net Debt to EBITDA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Ratios!$B$110</c:f>
              <c:strCache>
                <c:ptCount val="1"/>
                <c:pt idx="0">
                  <c:v>Net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Ratios!$B$119:$B$123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Q3 2016</c:v>
                </c:pt>
                <c:pt idx="4">
                  <c:v>Q3 2017</c:v>
                </c:pt>
              </c:strCache>
            </c:strRef>
          </c:cat>
          <c:val>
            <c:numRef>
              <c:f>Ratios!$F$110:$I$110</c:f>
              <c:numCache>
                <c:formatCode>_(* #,##0_);_(* \(#,##0\);_(* "-"??_);_(@_)</c:formatCode>
                <c:ptCount val="4"/>
                <c:pt idx="0">
                  <c:v>-1286828362</c:v>
                </c:pt>
                <c:pt idx="1">
                  <c:v>-1187813650</c:v>
                </c:pt>
                <c:pt idx="2">
                  <c:v>-1296391241.96</c:v>
                </c:pt>
                <c:pt idx="3">
                  <c:v>-1458094779.552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7-498A-AE35-69E166E4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514064"/>
        <c:axId val="1551522224"/>
      </c:barChart>
      <c:lineChart>
        <c:grouping val="stacked"/>
        <c:varyColors val="0"/>
        <c:ser>
          <c:idx val="1"/>
          <c:order val="1"/>
          <c:tx>
            <c:strRef>
              <c:f>Ratios!$B$52</c:f>
              <c:strCache>
                <c:ptCount val="1"/>
                <c:pt idx="0">
                  <c:v>Net Debt/EBITDA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827959659743101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97-498A-AE35-69E166E4582F}"/>
                </c:ext>
              </c:extLst>
            </c:dLbl>
            <c:dLbl>
              <c:idx val="1"/>
              <c:layout>
                <c:manualLayout>
                  <c:x val="-2.222222222222227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97-498A-AE35-69E166E4582F}"/>
                </c:ext>
              </c:extLst>
            </c:dLbl>
            <c:dLbl>
              <c:idx val="2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97-498A-AE35-69E166E4582F}"/>
                </c:ext>
              </c:extLst>
            </c:dLbl>
            <c:dLbl>
              <c:idx val="3"/>
              <c:layout>
                <c:manualLayout>
                  <c:x val="8.8710544116622318E-3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97-498A-AE35-69E166E4582F}"/>
                </c:ext>
              </c:extLst>
            </c:dLbl>
            <c:dLbl>
              <c:idx val="4"/>
              <c:layout>
                <c:manualLayout>
                  <c:x val="-3.333333333333333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97-498A-AE35-69E166E458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Ratios!$F$52:$I$52</c:f>
              <c:numCache>
                <c:formatCode>0.00_);\(0.00\)</c:formatCode>
                <c:ptCount val="4"/>
                <c:pt idx="0">
                  <c:v>-4.6467256860282653</c:v>
                </c:pt>
                <c:pt idx="1">
                  <c:v>-3.3656654211208767</c:v>
                </c:pt>
                <c:pt idx="2">
                  <c:v>-3.379892602107927</c:v>
                </c:pt>
                <c:pt idx="3">
                  <c:v>-3.6268756704362488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97-498A-AE35-69E166E4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23856"/>
        <c:axId val="1551514608"/>
      </c:lineChart>
      <c:valAx>
        <c:axId val="1551514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23856"/>
        <c:crosses val="max"/>
        <c:crossBetween val="between"/>
      </c:valAx>
      <c:catAx>
        <c:axId val="15515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14608"/>
        <c:crosses val="autoZero"/>
        <c:auto val="1"/>
        <c:lblAlgn val="ctr"/>
        <c:lblOffset val="100"/>
        <c:noMultiLvlLbl val="0"/>
      </c:catAx>
      <c:valAx>
        <c:axId val="1551522224"/>
        <c:scaling>
          <c:orientation val="minMax"/>
          <c:max val="1900000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140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55151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52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2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Stock Price Performance &amp;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Stock!$C$10</c:f>
              <c:strCache>
                <c:ptCount val="1"/>
                <c:pt idx="0">
                  <c:v> 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Stock!$A$1052:$A$2305</c:f>
              <c:strCache>
                <c:ptCount val="1254"/>
                <c:pt idx="0">
                  <c:v>2012-01-02</c:v>
                </c:pt>
                <c:pt idx="1">
                  <c:v>2012-01-03</c:v>
                </c:pt>
                <c:pt idx="2">
                  <c:v>2012-01-04</c:v>
                </c:pt>
                <c:pt idx="3">
                  <c:v>2012-01-05</c:v>
                </c:pt>
                <c:pt idx="4">
                  <c:v>2012-01-09</c:v>
                </c:pt>
                <c:pt idx="5">
                  <c:v>2012-01-10</c:v>
                </c:pt>
                <c:pt idx="6">
                  <c:v>2012-01-11</c:v>
                </c:pt>
                <c:pt idx="7">
                  <c:v>2012-01-12</c:v>
                </c:pt>
                <c:pt idx="8">
                  <c:v>2012-01-16</c:v>
                </c:pt>
                <c:pt idx="9">
                  <c:v>2012-01-17</c:v>
                </c:pt>
                <c:pt idx="10">
                  <c:v>2012-01-18</c:v>
                </c:pt>
                <c:pt idx="11">
                  <c:v>2012-01-19</c:v>
                </c:pt>
                <c:pt idx="12">
                  <c:v>2012-01-22</c:v>
                </c:pt>
                <c:pt idx="13">
                  <c:v>2012-01-23</c:v>
                </c:pt>
                <c:pt idx="14">
                  <c:v>2012-01-24</c:v>
                </c:pt>
                <c:pt idx="15">
                  <c:v>2012-01-26</c:v>
                </c:pt>
                <c:pt idx="16">
                  <c:v>2012-01-29</c:v>
                </c:pt>
                <c:pt idx="17">
                  <c:v>2012-01-30</c:v>
                </c:pt>
                <c:pt idx="18">
                  <c:v>2012-01-31</c:v>
                </c:pt>
                <c:pt idx="19">
                  <c:v>2012-02-01</c:v>
                </c:pt>
                <c:pt idx="20">
                  <c:v>2012-02-02</c:v>
                </c:pt>
                <c:pt idx="21">
                  <c:v>2012-02-06</c:v>
                </c:pt>
                <c:pt idx="22">
                  <c:v>2012-02-07</c:v>
                </c:pt>
                <c:pt idx="23">
                  <c:v>2012-02-08</c:v>
                </c:pt>
                <c:pt idx="24">
                  <c:v>2012-02-09</c:v>
                </c:pt>
                <c:pt idx="25">
                  <c:v>2012-02-13</c:v>
                </c:pt>
                <c:pt idx="26">
                  <c:v>2012-02-14</c:v>
                </c:pt>
                <c:pt idx="27">
                  <c:v>2012-02-15</c:v>
                </c:pt>
                <c:pt idx="28">
                  <c:v>2012-02-16</c:v>
                </c:pt>
                <c:pt idx="29">
                  <c:v>2012-02-19</c:v>
                </c:pt>
                <c:pt idx="30">
                  <c:v>2012-02-20</c:v>
                </c:pt>
                <c:pt idx="31">
                  <c:v>2012-02-21</c:v>
                </c:pt>
                <c:pt idx="32">
                  <c:v>2012-02-22</c:v>
                </c:pt>
                <c:pt idx="33">
                  <c:v>2012-02-23</c:v>
                </c:pt>
                <c:pt idx="34">
                  <c:v>2012-02-27</c:v>
                </c:pt>
                <c:pt idx="35">
                  <c:v>2012-02-28</c:v>
                </c:pt>
                <c:pt idx="36">
                  <c:v>2012-02-29</c:v>
                </c:pt>
                <c:pt idx="37">
                  <c:v>2012-03-01</c:v>
                </c:pt>
                <c:pt idx="38">
                  <c:v>2012-03-04</c:v>
                </c:pt>
                <c:pt idx="39">
                  <c:v>2012-03-05</c:v>
                </c:pt>
                <c:pt idx="40">
                  <c:v>2012-03-06</c:v>
                </c:pt>
                <c:pt idx="41">
                  <c:v>2012-03-07</c:v>
                </c:pt>
                <c:pt idx="42">
                  <c:v>2012-03-08</c:v>
                </c:pt>
                <c:pt idx="43">
                  <c:v>2012-03-11</c:v>
                </c:pt>
                <c:pt idx="44">
                  <c:v>2012-03-12</c:v>
                </c:pt>
                <c:pt idx="45">
                  <c:v>2012-03-13</c:v>
                </c:pt>
                <c:pt idx="46">
                  <c:v>2012-03-14</c:v>
                </c:pt>
                <c:pt idx="47">
                  <c:v>2012-03-15</c:v>
                </c:pt>
                <c:pt idx="48">
                  <c:v>2012-03-18</c:v>
                </c:pt>
                <c:pt idx="49">
                  <c:v>2012-03-19</c:v>
                </c:pt>
                <c:pt idx="50">
                  <c:v>2012-03-20</c:v>
                </c:pt>
                <c:pt idx="51">
                  <c:v>2012-03-21</c:v>
                </c:pt>
                <c:pt idx="52">
                  <c:v>2012-03-22</c:v>
                </c:pt>
                <c:pt idx="53">
                  <c:v>2012-03-25</c:v>
                </c:pt>
                <c:pt idx="54">
                  <c:v>2012-03-26</c:v>
                </c:pt>
                <c:pt idx="55">
                  <c:v>2012-03-27</c:v>
                </c:pt>
                <c:pt idx="56">
                  <c:v>2012-03-28</c:v>
                </c:pt>
                <c:pt idx="57">
                  <c:v>2012-03-29</c:v>
                </c:pt>
                <c:pt idx="58">
                  <c:v>2012-04-01</c:v>
                </c:pt>
                <c:pt idx="59">
                  <c:v>2012-04-03</c:v>
                </c:pt>
                <c:pt idx="60">
                  <c:v>2012-04-04</c:v>
                </c:pt>
                <c:pt idx="61">
                  <c:v>2012-04-05</c:v>
                </c:pt>
                <c:pt idx="62">
                  <c:v>2012-04-08</c:v>
                </c:pt>
                <c:pt idx="63">
                  <c:v>2012-04-09</c:v>
                </c:pt>
                <c:pt idx="64">
                  <c:v>2012-04-10</c:v>
                </c:pt>
                <c:pt idx="65">
                  <c:v>2012-04-11</c:v>
                </c:pt>
                <c:pt idx="66">
                  <c:v>2012-04-12</c:v>
                </c:pt>
                <c:pt idx="67">
                  <c:v>2012-04-17</c:v>
                </c:pt>
                <c:pt idx="68">
                  <c:v>2012-04-18</c:v>
                </c:pt>
                <c:pt idx="69">
                  <c:v>2012-04-19</c:v>
                </c:pt>
                <c:pt idx="70">
                  <c:v>2012-04-22</c:v>
                </c:pt>
                <c:pt idx="71">
                  <c:v>2012-04-23</c:v>
                </c:pt>
                <c:pt idx="72">
                  <c:v>2012-04-24</c:v>
                </c:pt>
                <c:pt idx="73">
                  <c:v>2012-04-26</c:v>
                </c:pt>
                <c:pt idx="74">
                  <c:v>2012-04-29</c:v>
                </c:pt>
                <c:pt idx="75">
                  <c:v>2012-04-30</c:v>
                </c:pt>
                <c:pt idx="76">
                  <c:v>2012-05-02</c:v>
                </c:pt>
                <c:pt idx="77">
                  <c:v>2012-05-03</c:v>
                </c:pt>
                <c:pt idx="78">
                  <c:v>2012-05-06</c:v>
                </c:pt>
                <c:pt idx="79">
                  <c:v>2012-05-07</c:v>
                </c:pt>
                <c:pt idx="80">
                  <c:v>2012-05-08</c:v>
                </c:pt>
                <c:pt idx="81">
                  <c:v>2012-05-09</c:v>
                </c:pt>
                <c:pt idx="82">
                  <c:v>2012-05-10</c:v>
                </c:pt>
                <c:pt idx="83">
                  <c:v>2012-05-15</c:v>
                </c:pt>
                <c:pt idx="84">
                  <c:v>2012-05-16</c:v>
                </c:pt>
                <c:pt idx="85">
                  <c:v>2012-05-17</c:v>
                </c:pt>
                <c:pt idx="86">
                  <c:v>2012-05-20</c:v>
                </c:pt>
                <c:pt idx="87">
                  <c:v>2012-05-21</c:v>
                </c:pt>
                <c:pt idx="88">
                  <c:v>2012-05-22</c:v>
                </c:pt>
                <c:pt idx="89">
                  <c:v>2012-05-23</c:v>
                </c:pt>
                <c:pt idx="90">
                  <c:v>2012-05-24</c:v>
                </c:pt>
                <c:pt idx="91">
                  <c:v>2012-05-27</c:v>
                </c:pt>
                <c:pt idx="92">
                  <c:v>2012-05-28</c:v>
                </c:pt>
                <c:pt idx="93">
                  <c:v>2012-05-29</c:v>
                </c:pt>
                <c:pt idx="94">
                  <c:v>2012-05-30</c:v>
                </c:pt>
                <c:pt idx="95">
                  <c:v>2012-06-03</c:v>
                </c:pt>
                <c:pt idx="96">
                  <c:v>2012-06-04</c:v>
                </c:pt>
                <c:pt idx="97">
                  <c:v>2012-06-05</c:v>
                </c:pt>
                <c:pt idx="98">
                  <c:v>2012-06-06</c:v>
                </c:pt>
                <c:pt idx="99">
                  <c:v>2012-06-07</c:v>
                </c:pt>
                <c:pt idx="100">
                  <c:v>2012-06-10</c:v>
                </c:pt>
                <c:pt idx="101">
                  <c:v>2012-06-26</c:v>
                </c:pt>
                <c:pt idx="102">
                  <c:v>2012-06-27</c:v>
                </c:pt>
                <c:pt idx="103">
                  <c:v>2012-06-28</c:v>
                </c:pt>
                <c:pt idx="104">
                  <c:v>2012-07-02</c:v>
                </c:pt>
                <c:pt idx="105">
                  <c:v>2012-07-03</c:v>
                </c:pt>
                <c:pt idx="106">
                  <c:v>2012-07-04</c:v>
                </c:pt>
                <c:pt idx="107">
                  <c:v>2012-07-05</c:v>
                </c:pt>
                <c:pt idx="108">
                  <c:v>2012-07-08</c:v>
                </c:pt>
                <c:pt idx="109">
                  <c:v>2012-07-09</c:v>
                </c:pt>
                <c:pt idx="110">
                  <c:v>2012-07-10</c:v>
                </c:pt>
                <c:pt idx="111">
                  <c:v>2012-07-11</c:v>
                </c:pt>
                <c:pt idx="112">
                  <c:v>2012-07-12</c:v>
                </c:pt>
                <c:pt idx="113">
                  <c:v>2012-07-16</c:v>
                </c:pt>
                <c:pt idx="114">
                  <c:v>2012-07-17</c:v>
                </c:pt>
                <c:pt idx="115">
                  <c:v>2012-07-18</c:v>
                </c:pt>
                <c:pt idx="116">
                  <c:v>2012-07-19</c:v>
                </c:pt>
                <c:pt idx="117">
                  <c:v>2012-07-24</c:v>
                </c:pt>
                <c:pt idx="118">
                  <c:v>2012-07-25</c:v>
                </c:pt>
                <c:pt idx="119">
                  <c:v>2012-07-26</c:v>
                </c:pt>
                <c:pt idx="120">
                  <c:v>2012-07-30</c:v>
                </c:pt>
                <c:pt idx="121">
                  <c:v>2012-08-01</c:v>
                </c:pt>
                <c:pt idx="122">
                  <c:v>2012-08-02</c:v>
                </c:pt>
                <c:pt idx="123">
                  <c:v>2012-08-05</c:v>
                </c:pt>
                <c:pt idx="124">
                  <c:v>2012-08-06</c:v>
                </c:pt>
                <c:pt idx="125">
                  <c:v>2012-08-07</c:v>
                </c:pt>
                <c:pt idx="126">
                  <c:v>2012-08-08</c:v>
                </c:pt>
                <c:pt idx="127">
                  <c:v>2012-08-09</c:v>
                </c:pt>
                <c:pt idx="128">
                  <c:v>2012-08-12</c:v>
                </c:pt>
                <c:pt idx="129">
                  <c:v>2012-08-13</c:v>
                </c:pt>
                <c:pt idx="130">
                  <c:v>2012-08-14</c:v>
                </c:pt>
                <c:pt idx="131">
                  <c:v>2012-08-16</c:v>
                </c:pt>
                <c:pt idx="132">
                  <c:v>2012-08-21</c:v>
                </c:pt>
                <c:pt idx="133">
                  <c:v>2012-08-22</c:v>
                </c:pt>
                <c:pt idx="134">
                  <c:v>2012-08-23</c:v>
                </c:pt>
                <c:pt idx="135">
                  <c:v>2012-08-26</c:v>
                </c:pt>
                <c:pt idx="136">
                  <c:v>2012-08-27</c:v>
                </c:pt>
                <c:pt idx="137">
                  <c:v>2012-08-28</c:v>
                </c:pt>
                <c:pt idx="138">
                  <c:v>2012-08-29</c:v>
                </c:pt>
                <c:pt idx="139">
                  <c:v>2012-08-30</c:v>
                </c:pt>
                <c:pt idx="140">
                  <c:v>2012-09-02</c:v>
                </c:pt>
                <c:pt idx="141">
                  <c:v>2012-09-03</c:v>
                </c:pt>
                <c:pt idx="142">
                  <c:v>2012-09-04</c:v>
                </c:pt>
                <c:pt idx="143">
                  <c:v>2012-09-05</c:v>
                </c:pt>
                <c:pt idx="144">
                  <c:v>2012-09-06</c:v>
                </c:pt>
                <c:pt idx="145">
                  <c:v>2012-09-09</c:v>
                </c:pt>
                <c:pt idx="146">
                  <c:v>2012-09-10</c:v>
                </c:pt>
                <c:pt idx="147">
                  <c:v>2012-09-11</c:v>
                </c:pt>
                <c:pt idx="148">
                  <c:v>2012-09-12</c:v>
                </c:pt>
                <c:pt idx="149">
                  <c:v>2012-09-13</c:v>
                </c:pt>
                <c:pt idx="150">
                  <c:v>2012-09-16</c:v>
                </c:pt>
                <c:pt idx="151">
                  <c:v>2012-09-17</c:v>
                </c:pt>
                <c:pt idx="152">
                  <c:v>2012-09-18</c:v>
                </c:pt>
                <c:pt idx="153">
                  <c:v>2012-09-19</c:v>
                </c:pt>
                <c:pt idx="154">
                  <c:v>2012-09-20</c:v>
                </c:pt>
                <c:pt idx="155">
                  <c:v>2012-09-23</c:v>
                </c:pt>
                <c:pt idx="156">
                  <c:v>2012-09-24</c:v>
                </c:pt>
                <c:pt idx="157">
                  <c:v>2012-09-25</c:v>
                </c:pt>
                <c:pt idx="158">
                  <c:v>2012-09-26</c:v>
                </c:pt>
                <c:pt idx="159">
                  <c:v>2012-09-27</c:v>
                </c:pt>
                <c:pt idx="160">
                  <c:v>2012-09-30</c:v>
                </c:pt>
                <c:pt idx="161">
                  <c:v>2012-10-01</c:v>
                </c:pt>
                <c:pt idx="162">
                  <c:v>2012-10-02</c:v>
                </c:pt>
                <c:pt idx="163">
                  <c:v>2012-10-03</c:v>
                </c:pt>
                <c:pt idx="164">
                  <c:v>2012-10-04</c:v>
                </c:pt>
                <c:pt idx="165">
                  <c:v>2012-10-08</c:v>
                </c:pt>
                <c:pt idx="166">
                  <c:v>2012-10-09</c:v>
                </c:pt>
                <c:pt idx="167">
                  <c:v>2012-10-10</c:v>
                </c:pt>
                <c:pt idx="168">
                  <c:v>2012-10-11</c:v>
                </c:pt>
                <c:pt idx="169">
                  <c:v>2012-10-14</c:v>
                </c:pt>
                <c:pt idx="170">
                  <c:v>2012-10-15</c:v>
                </c:pt>
                <c:pt idx="171">
                  <c:v>2012-10-16</c:v>
                </c:pt>
                <c:pt idx="172">
                  <c:v>2012-10-17</c:v>
                </c:pt>
                <c:pt idx="173">
                  <c:v>2012-10-18</c:v>
                </c:pt>
                <c:pt idx="174">
                  <c:v>2012-10-21</c:v>
                </c:pt>
                <c:pt idx="175">
                  <c:v>2012-10-22</c:v>
                </c:pt>
                <c:pt idx="176">
                  <c:v>2012-10-23</c:v>
                </c:pt>
                <c:pt idx="177">
                  <c:v>2012-10-24</c:v>
                </c:pt>
                <c:pt idx="178">
                  <c:v>2012-10-29</c:v>
                </c:pt>
                <c:pt idx="179">
                  <c:v>2012-10-30</c:v>
                </c:pt>
                <c:pt idx="180">
                  <c:v>2012-10-31</c:v>
                </c:pt>
                <c:pt idx="181">
                  <c:v>2012-11-01</c:v>
                </c:pt>
                <c:pt idx="182">
                  <c:v>2012-11-04</c:v>
                </c:pt>
                <c:pt idx="183">
                  <c:v>2012-11-05</c:v>
                </c:pt>
                <c:pt idx="184">
                  <c:v>2012-11-06</c:v>
                </c:pt>
                <c:pt idx="185">
                  <c:v>2012-11-07</c:v>
                </c:pt>
                <c:pt idx="186">
                  <c:v>2012-11-08</c:v>
                </c:pt>
                <c:pt idx="187">
                  <c:v>2012-11-11</c:v>
                </c:pt>
                <c:pt idx="188">
                  <c:v>2012-11-12</c:v>
                </c:pt>
                <c:pt idx="189">
                  <c:v>2012-11-13</c:v>
                </c:pt>
                <c:pt idx="190">
                  <c:v>2012-11-14</c:v>
                </c:pt>
                <c:pt idx="191">
                  <c:v>2012-11-18</c:v>
                </c:pt>
                <c:pt idx="192">
                  <c:v>2012-11-19</c:v>
                </c:pt>
                <c:pt idx="193">
                  <c:v>2012-11-20</c:v>
                </c:pt>
                <c:pt idx="194">
                  <c:v>2012-11-21</c:v>
                </c:pt>
                <c:pt idx="195">
                  <c:v>2012-11-22</c:v>
                </c:pt>
                <c:pt idx="196">
                  <c:v>2012-11-25</c:v>
                </c:pt>
                <c:pt idx="197">
                  <c:v>2012-11-26</c:v>
                </c:pt>
                <c:pt idx="198">
                  <c:v>2012-11-27</c:v>
                </c:pt>
                <c:pt idx="199">
                  <c:v>2012-11-28</c:v>
                </c:pt>
                <c:pt idx="200">
                  <c:v>2012-11-29</c:v>
                </c:pt>
                <c:pt idx="201">
                  <c:v>2012-12-02</c:v>
                </c:pt>
                <c:pt idx="202">
                  <c:v>2012-12-03</c:v>
                </c:pt>
                <c:pt idx="203">
                  <c:v>2012-12-04</c:v>
                </c:pt>
                <c:pt idx="204">
                  <c:v>2012-12-05</c:v>
                </c:pt>
                <c:pt idx="205">
                  <c:v>2012-12-06</c:v>
                </c:pt>
                <c:pt idx="206">
                  <c:v>2012-12-10</c:v>
                </c:pt>
                <c:pt idx="207">
                  <c:v>2012-12-11</c:v>
                </c:pt>
                <c:pt idx="208">
                  <c:v>2012-12-16</c:v>
                </c:pt>
                <c:pt idx="209">
                  <c:v>2012-12-17</c:v>
                </c:pt>
                <c:pt idx="210">
                  <c:v>2012-12-18</c:v>
                </c:pt>
                <c:pt idx="211">
                  <c:v>2012-12-19</c:v>
                </c:pt>
                <c:pt idx="212">
                  <c:v>2012-12-20</c:v>
                </c:pt>
                <c:pt idx="213">
                  <c:v>2012-12-23</c:v>
                </c:pt>
                <c:pt idx="214">
                  <c:v>2012-12-24</c:v>
                </c:pt>
                <c:pt idx="215">
                  <c:v>2012-12-25</c:v>
                </c:pt>
                <c:pt idx="216">
                  <c:v>2012-12-26</c:v>
                </c:pt>
                <c:pt idx="217">
                  <c:v>2012-12-27</c:v>
                </c:pt>
                <c:pt idx="218">
                  <c:v>2012-12-30</c:v>
                </c:pt>
                <c:pt idx="219">
                  <c:v>2012-12-31</c:v>
                </c:pt>
                <c:pt idx="220">
                  <c:v>2013-01-02</c:v>
                </c:pt>
                <c:pt idx="221">
                  <c:v>2013-01-03</c:v>
                </c:pt>
                <c:pt idx="222">
                  <c:v>2013-01-06</c:v>
                </c:pt>
                <c:pt idx="223">
                  <c:v>2013-01-08</c:v>
                </c:pt>
                <c:pt idx="224">
                  <c:v>2013-01-09</c:v>
                </c:pt>
                <c:pt idx="225">
                  <c:v>2013-01-10</c:v>
                </c:pt>
                <c:pt idx="226">
                  <c:v>2013-01-13</c:v>
                </c:pt>
                <c:pt idx="227">
                  <c:v>2013-01-14</c:v>
                </c:pt>
                <c:pt idx="228">
                  <c:v>2013-01-15</c:v>
                </c:pt>
                <c:pt idx="229">
                  <c:v>2013-01-16</c:v>
                </c:pt>
                <c:pt idx="230">
                  <c:v>2013-01-17</c:v>
                </c:pt>
                <c:pt idx="231">
                  <c:v>2013-01-20</c:v>
                </c:pt>
                <c:pt idx="232">
                  <c:v>2013-01-21</c:v>
                </c:pt>
                <c:pt idx="233">
                  <c:v>2013-01-22</c:v>
                </c:pt>
                <c:pt idx="234">
                  <c:v>2013-01-23</c:v>
                </c:pt>
                <c:pt idx="235">
                  <c:v>2013-01-27</c:v>
                </c:pt>
                <c:pt idx="236">
                  <c:v>2013-01-28</c:v>
                </c:pt>
                <c:pt idx="237">
                  <c:v>2013-01-29</c:v>
                </c:pt>
                <c:pt idx="238">
                  <c:v>2013-01-30</c:v>
                </c:pt>
                <c:pt idx="239">
                  <c:v>2013-01-31</c:v>
                </c:pt>
                <c:pt idx="240">
                  <c:v>2013-02-03</c:v>
                </c:pt>
                <c:pt idx="241">
                  <c:v>2013-02-04</c:v>
                </c:pt>
                <c:pt idx="242">
                  <c:v>2013-02-05</c:v>
                </c:pt>
                <c:pt idx="243">
                  <c:v>2013-02-06</c:v>
                </c:pt>
                <c:pt idx="244">
                  <c:v>2013-02-07</c:v>
                </c:pt>
                <c:pt idx="245">
                  <c:v>2013-02-10</c:v>
                </c:pt>
                <c:pt idx="246">
                  <c:v>2013-02-11</c:v>
                </c:pt>
                <c:pt idx="247">
                  <c:v>2013-02-12</c:v>
                </c:pt>
                <c:pt idx="248">
                  <c:v>2013-02-13</c:v>
                </c:pt>
                <c:pt idx="249">
                  <c:v>2013-02-14</c:v>
                </c:pt>
                <c:pt idx="250">
                  <c:v>2013-02-17</c:v>
                </c:pt>
                <c:pt idx="251">
                  <c:v>2013-02-18</c:v>
                </c:pt>
                <c:pt idx="252">
                  <c:v>2013-02-19</c:v>
                </c:pt>
                <c:pt idx="253">
                  <c:v>2013-02-20</c:v>
                </c:pt>
                <c:pt idx="254">
                  <c:v>2013-02-21</c:v>
                </c:pt>
                <c:pt idx="255">
                  <c:v>2013-02-24</c:v>
                </c:pt>
                <c:pt idx="256">
                  <c:v>2013-02-25</c:v>
                </c:pt>
                <c:pt idx="257">
                  <c:v>2013-02-26</c:v>
                </c:pt>
                <c:pt idx="258">
                  <c:v>2013-02-27</c:v>
                </c:pt>
                <c:pt idx="259">
                  <c:v>2013-02-28</c:v>
                </c:pt>
                <c:pt idx="260">
                  <c:v>2013-03-03</c:v>
                </c:pt>
                <c:pt idx="261">
                  <c:v>2013-03-04</c:v>
                </c:pt>
                <c:pt idx="262">
                  <c:v>2013-03-05</c:v>
                </c:pt>
                <c:pt idx="263">
                  <c:v>2013-03-06</c:v>
                </c:pt>
                <c:pt idx="264">
                  <c:v>2013-03-07</c:v>
                </c:pt>
                <c:pt idx="265">
                  <c:v>2013-03-10</c:v>
                </c:pt>
                <c:pt idx="266">
                  <c:v>2013-03-11</c:v>
                </c:pt>
                <c:pt idx="267">
                  <c:v>2013-03-12</c:v>
                </c:pt>
                <c:pt idx="268">
                  <c:v>2013-03-13</c:v>
                </c:pt>
                <c:pt idx="269">
                  <c:v>2013-03-14</c:v>
                </c:pt>
                <c:pt idx="270">
                  <c:v>2013-03-17</c:v>
                </c:pt>
                <c:pt idx="271">
                  <c:v>2013-03-18</c:v>
                </c:pt>
                <c:pt idx="272">
                  <c:v>2013-03-19</c:v>
                </c:pt>
                <c:pt idx="273">
                  <c:v>2013-03-20</c:v>
                </c:pt>
                <c:pt idx="274">
                  <c:v>2013-03-21</c:v>
                </c:pt>
                <c:pt idx="275">
                  <c:v>2013-03-24</c:v>
                </c:pt>
                <c:pt idx="276">
                  <c:v>2013-03-25</c:v>
                </c:pt>
                <c:pt idx="277">
                  <c:v>2013-03-26</c:v>
                </c:pt>
                <c:pt idx="278">
                  <c:v>2013-03-27</c:v>
                </c:pt>
                <c:pt idx="279">
                  <c:v>2013-03-28</c:v>
                </c:pt>
                <c:pt idx="280">
                  <c:v>2013-03-31</c:v>
                </c:pt>
                <c:pt idx="281">
                  <c:v>2013-04-01</c:v>
                </c:pt>
                <c:pt idx="282">
                  <c:v>2013-04-02</c:v>
                </c:pt>
                <c:pt idx="283">
                  <c:v>2013-04-03</c:v>
                </c:pt>
                <c:pt idx="284">
                  <c:v>2013-04-04</c:v>
                </c:pt>
                <c:pt idx="285">
                  <c:v>2013-04-07</c:v>
                </c:pt>
                <c:pt idx="286">
                  <c:v>2013-04-08</c:v>
                </c:pt>
                <c:pt idx="287">
                  <c:v>2013-04-09</c:v>
                </c:pt>
                <c:pt idx="288">
                  <c:v>2013-04-10</c:v>
                </c:pt>
                <c:pt idx="289">
                  <c:v>2013-04-11</c:v>
                </c:pt>
                <c:pt idx="290">
                  <c:v>2013-04-14</c:v>
                </c:pt>
                <c:pt idx="291">
                  <c:v>2013-04-15</c:v>
                </c:pt>
                <c:pt idx="292">
                  <c:v>2013-04-16</c:v>
                </c:pt>
                <c:pt idx="293">
                  <c:v>2013-04-17</c:v>
                </c:pt>
                <c:pt idx="294">
                  <c:v>2013-04-18</c:v>
                </c:pt>
                <c:pt idx="295">
                  <c:v>2013-04-21</c:v>
                </c:pt>
                <c:pt idx="296">
                  <c:v>2013-04-22</c:v>
                </c:pt>
                <c:pt idx="297">
                  <c:v>2013-04-23</c:v>
                </c:pt>
                <c:pt idx="298">
                  <c:v>2013-04-24</c:v>
                </c:pt>
                <c:pt idx="299">
                  <c:v>2013-04-28</c:v>
                </c:pt>
                <c:pt idx="300">
                  <c:v>2013-04-29</c:v>
                </c:pt>
                <c:pt idx="301">
                  <c:v>2013-04-30</c:v>
                </c:pt>
                <c:pt idx="302">
                  <c:v>2013-05-02</c:v>
                </c:pt>
                <c:pt idx="303">
                  <c:v>2013-05-07</c:v>
                </c:pt>
                <c:pt idx="304">
                  <c:v>2013-05-08</c:v>
                </c:pt>
                <c:pt idx="305">
                  <c:v>2013-05-09</c:v>
                </c:pt>
                <c:pt idx="306">
                  <c:v>2013-05-12</c:v>
                </c:pt>
                <c:pt idx="307">
                  <c:v>2013-05-13</c:v>
                </c:pt>
                <c:pt idx="308">
                  <c:v>2013-05-14</c:v>
                </c:pt>
                <c:pt idx="309">
                  <c:v>2013-05-15</c:v>
                </c:pt>
                <c:pt idx="310">
                  <c:v>2013-05-16</c:v>
                </c:pt>
                <c:pt idx="311">
                  <c:v>2013-05-19</c:v>
                </c:pt>
                <c:pt idx="312">
                  <c:v>2013-05-20</c:v>
                </c:pt>
                <c:pt idx="313">
                  <c:v>2013-05-21</c:v>
                </c:pt>
                <c:pt idx="314">
                  <c:v>2013-05-22</c:v>
                </c:pt>
                <c:pt idx="315">
                  <c:v>2013-05-23</c:v>
                </c:pt>
                <c:pt idx="316">
                  <c:v>2013-05-26</c:v>
                </c:pt>
                <c:pt idx="317">
                  <c:v>2013-05-27</c:v>
                </c:pt>
                <c:pt idx="318">
                  <c:v>2013-05-28</c:v>
                </c:pt>
                <c:pt idx="319">
                  <c:v>2013-05-29</c:v>
                </c:pt>
                <c:pt idx="320">
                  <c:v>2013-05-30</c:v>
                </c:pt>
                <c:pt idx="321">
                  <c:v>2013-06-02</c:v>
                </c:pt>
                <c:pt idx="322">
                  <c:v>2013-06-03</c:v>
                </c:pt>
                <c:pt idx="323">
                  <c:v>2013-06-04</c:v>
                </c:pt>
                <c:pt idx="324">
                  <c:v>2013-06-05</c:v>
                </c:pt>
                <c:pt idx="325">
                  <c:v>2013-06-06</c:v>
                </c:pt>
                <c:pt idx="326">
                  <c:v>2013-06-09</c:v>
                </c:pt>
                <c:pt idx="327">
                  <c:v>2013-06-10</c:v>
                </c:pt>
                <c:pt idx="328">
                  <c:v>2013-06-12</c:v>
                </c:pt>
                <c:pt idx="329">
                  <c:v>2013-06-13</c:v>
                </c:pt>
                <c:pt idx="330">
                  <c:v>2013-06-16</c:v>
                </c:pt>
                <c:pt idx="331">
                  <c:v>2013-06-17</c:v>
                </c:pt>
                <c:pt idx="332">
                  <c:v>2013-06-18</c:v>
                </c:pt>
                <c:pt idx="333">
                  <c:v>2013-06-19</c:v>
                </c:pt>
                <c:pt idx="334">
                  <c:v>2013-06-20</c:v>
                </c:pt>
                <c:pt idx="335">
                  <c:v>2013-06-23</c:v>
                </c:pt>
                <c:pt idx="336">
                  <c:v>2013-06-24</c:v>
                </c:pt>
                <c:pt idx="337">
                  <c:v>2013-06-25</c:v>
                </c:pt>
                <c:pt idx="338">
                  <c:v>2013-06-26</c:v>
                </c:pt>
                <c:pt idx="339">
                  <c:v>2013-06-27</c:v>
                </c:pt>
                <c:pt idx="340">
                  <c:v>2013-06-30</c:v>
                </c:pt>
                <c:pt idx="341">
                  <c:v>2013-07-02</c:v>
                </c:pt>
                <c:pt idx="342">
                  <c:v>2013-07-03</c:v>
                </c:pt>
                <c:pt idx="343">
                  <c:v>2013-07-04</c:v>
                </c:pt>
                <c:pt idx="344">
                  <c:v>2013-07-07</c:v>
                </c:pt>
                <c:pt idx="345">
                  <c:v>2013-07-08</c:v>
                </c:pt>
                <c:pt idx="346">
                  <c:v>2013-07-09</c:v>
                </c:pt>
                <c:pt idx="347">
                  <c:v>2013-07-10</c:v>
                </c:pt>
                <c:pt idx="348">
                  <c:v>2013-07-11</c:v>
                </c:pt>
                <c:pt idx="349">
                  <c:v>2013-07-14</c:v>
                </c:pt>
                <c:pt idx="350">
                  <c:v>2013-07-16</c:v>
                </c:pt>
                <c:pt idx="351">
                  <c:v>2013-07-17</c:v>
                </c:pt>
                <c:pt idx="352">
                  <c:v>2013-07-18</c:v>
                </c:pt>
                <c:pt idx="353">
                  <c:v>2013-07-21</c:v>
                </c:pt>
                <c:pt idx="354">
                  <c:v>2013-07-22</c:v>
                </c:pt>
                <c:pt idx="355">
                  <c:v>2013-07-24</c:v>
                </c:pt>
                <c:pt idx="356">
                  <c:v>2013-07-25</c:v>
                </c:pt>
                <c:pt idx="357">
                  <c:v>2013-07-28</c:v>
                </c:pt>
                <c:pt idx="358">
                  <c:v>2013-07-29</c:v>
                </c:pt>
                <c:pt idx="359">
                  <c:v>2013-07-31</c:v>
                </c:pt>
                <c:pt idx="360">
                  <c:v>2013-08-01</c:v>
                </c:pt>
                <c:pt idx="361">
                  <c:v>2013-08-04</c:v>
                </c:pt>
                <c:pt idx="362">
                  <c:v>2013-08-05</c:v>
                </c:pt>
                <c:pt idx="363">
                  <c:v>2013-08-06</c:v>
                </c:pt>
                <c:pt idx="364">
                  <c:v>2013-08-07</c:v>
                </c:pt>
                <c:pt idx="365">
                  <c:v>2013-08-12</c:v>
                </c:pt>
                <c:pt idx="366">
                  <c:v>2013-08-13</c:v>
                </c:pt>
                <c:pt idx="367">
                  <c:v>2013-08-14</c:v>
                </c:pt>
                <c:pt idx="368">
                  <c:v>2013-08-18</c:v>
                </c:pt>
                <c:pt idx="369">
                  <c:v>2013-08-19</c:v>
                </c:pt>
                <c:pt idx="370">
                  <c:v>2013-08-20</c:v>
                </c:pt>
                <c:pt idx="371">
                  <c:v>2013-08-21</c:v>
                </c:pt>
                <c:pt idx="372">
                  <c:v>2013-08-22</c:v>
                </c:pt>
                <c:pt idx="373">
                  <c:v>2013-08-25</c:v>
                </c:pt>
                <c:pt idx="374">
                  <c:v>2013-08-26</c:v>
                </c:pt>
                <c:pt idx="375">
                  <c:v>2013-08-27</c:v>
                </c:pt>
                <c:pt idx="376">
                  <c:v>2013-08-28</c:v>
                </c:pt>
                <c:pt idx="377">
                  <c:v>2013-08-29</c:v>
                </c:pt>
                <c:pt idx="378">
                  <c:v>2013-09-01</c:v>
                </c:pt>
                <c:pt idx="379">
                  <c:v>2013-09-08</c:v>
                </c:pt>
                <c:pt idx="380">
                  <c:v>2013-09-09</c:v>
                </c:pt>
                <c:pt idx="381">
                  <c:v>2013-09-10</c:v>
                </c:pt>
                <c:pt idx="382">
                  <c:v>2013-09-12</c:v>
                </c:pt>
                <c:pt idx="383">
                  <c:v>2013-09-15</c:v>
                </c:pt>
                <c:pt idx="384">
                  <c:v>2013-09-16</c:v>
                </c:pt>
                <c:pt idx="385">
                  <c:v>2013-09-18</c:v>
                </c:pt>
                <c:pt idx="386">
                  <c:v>2013-09-22</c:v>
                </c:pt>
                <c:pt idx="387">
                  <c:v>2013-09-23</c:v>
                </c:pt>
                <c:pt idx="388">
                  <c:v>2013-09-25</c:v>
                </c:pt>
                <c:pt idx="389">
                  <c:v>2013-09-26</c:v>
                </c:pt>
                <c:pt idx="390">
                  <c:v>2013-09-29</c:v>
                </c:pt>
                <c:pt idx="391">
                  <c:v>2013-09-30</c:v>
                </c:pt>
                <c:pt idx="392">
                  <c:v>2013-10-01</c:v>
                </c:pt>
                <c:pt idx="393">
                  <c:v>2013-10-02</c:v>
                </c:pt>
                <c:pt idx="394">
                  <c:v>2013-10-03</c:v>
                </c:pt>
                <c:pt idx="395">
                  <c:v>2013-10-07</c:v>
                </c:pt>
                <c:pt idx="396">
                  <c:v>2013-10-08</c:v>
                </c:pt>
                <c:pt idx="397">
                  <c:v>2013-10-09</c:v>
                </c:pt>
                <c:pt idx="398">
                  <c:v>2013-10-10</c:v>
                </c:pt>
                <c:pt idx="399">
                  <c:v>2013-10-13</c:v>
                </c:pt>
                <c:pt idx="400">
                  <c:v>2013-10-20</c:v>
                </c:pt>
                <c:pt idx="401">
                  <c:v>2013-10-21</c:v>
                </c:pt>
                <c:pt idx="402">
                  <c:v>2013-10-22</c:v>
                </c:pt>
                <c:pt idx="403">
                  <c:v>2013-10-23</c:v>
                </c:pt>
                <c:pt idx="404">
                  <c:v>2013-10-24</c:v>
                </c:pt>
                <c:pt idx="405">
                  <c:v>2013-10-27</c:v>
                </c:pt>
                <c:pt idx="406">
                  <c:v>2013-10-28</c:v>
                </c:pt>
                <c:pt idx="407">
                  <c:v>2013-10-29</c:v>
                </c:pt>
                <c:pt idx="408">
                  <c:v>2013-10-30</c:v>
                </c:pt>
                <c:pt idx="409">
                  <c:v>2013-10-31</c:v>
                </c:pt>
                <c:pt idx="410">
                  <c:v>2013-11-03</c:v>
                </c:pt>
                <c:pt idx="411">
                  <c:v>2013-11-04</c:v>
                </c:pt>
                <c:pt idx="412">
                  <c:v>2013-11-06</c:v>
                </c:pt>
                <c:pt idx="413">
                  <c:v>2013-11-07</c:v>
                </c:pt>
                <c:pt idx="414">
                  <c:v>2013-11-10</c:v>
                </c:pt>
                <c:pt idx="415">
                  <c:v>2013-11-11</c:v>
                </c:pt>
                <c:pt idx="416">
                  <c:v>2013-11-12</c:v>
                </c:pt>
                <c:pt idx="417">
                  <c:v>2013-11-13</c:v>
                </c:pt>
                <c:pt idx="418">
                  <c:v>2013-11-14</c:v>
                </c:pt>
                <c:pt idx="419">
                  <c:v>2013-11-18</c:v>
                </c:pt>
                <c:pt idx="420">
                  <c:v>2013-11-19</c:v>
                </c:pt>
                <c:pt idx="421">
                  <c:v>2013-11-20</c:v>
                </c:pt>
                <c:pt idx="422">
                  <c:v>2013-11-21</c:v>
                </c:pt>
                <c:pt idx="423">
                  <c:v>2013-11-24</c:v>
                </c:pt>
                <c:pt idx="424">
                  <c:v>2013-11-25</c:v>
                </c:pt>
                <c:pt idx="425">
                  <c:v>2013-11-26</c:v>
                </c:pt>
                <c:pt idx="426">
                  <c:v>2013-11-27</c:v>
                </c:pt>
                <c:pt idx="427">
                  <c:v>2013-11-28</c:v>
                </c:pt>
                <c:pt idx="428">
                  <c:v>2013-12-02</c:v>
                </c:pt>
                <c:pt idx="429">
                  <c:v>2013-12-03</c:v>
                </c:pt>
                <c:pt idx="430">
                  <c:v>2013-12-04</c:v>
                </c:pt>
                <c:pt idx="431">
                  <c:v>2013-12-05</c:v>
                </c:pt>
                <c:pt idx="432">
                  <c:v>2013-12-08</c:v>
                </c:pt>
                <c:pt idx="433">
                  <c:v>2013-12-09</c:v>
                </c:pt>
                <c:pt idx="434">
                  <c:v>2013-12-10</c:v>
                </c:pt>
                <c:pt idx="435">
                  <c:v>2013-12-11</c:v>
                </c:pt>
                <c:pt idx="436">
                  <c:v>2013-12-12</c:v>
                </c:pt>
                <c:pt idx="437">
                  <c:v>2013-12-15</c:v>
                </c:pt>
                <c:pt idx="438">
                  <c:v>2013-12-16</c:v>
                </c:pt>
                <c:pt idx="439">
                  <c:v>2013-12-17</c:v>
                </c:pt>
                <c:pt idx="440">
                  <c:v>2013-12-18</c:v>
                </c:pt>
                <c:pt idx="441">
                  <c:v>2013-12-19</c:v>
                </c:pt>
                <c:pt idx="442">
                  <c:v>2013-12-22</c:v>
                </c:pt>
                <c:pt idx="443">
                  <c:v>2013-12-23</c:v>
                </c:pt>
                <c:pt idx="444">
                  <c:v>2013-12-24</c:v>
                </c:pt>
                <c:pt idx="445">
                  <c:v>2013-12-25</c:v>
                </c:pt>
                <c:pt idx="446">
                  <c:v>2013-12-26</c:v>
                </c:pt>
                <c:pt idx="447">
                  <c:v>2013-12-29</c:v>
                </c:pt>
                <c:pt idx="448">
                  <c:v>2013-12-30</c:v>
                </c:pt>
                <c:pt idx="449">
                  <c:v>2013-12-31</c:v>
                </c:pt>
                <c:pt idx="450">
                  <c:v>2014-01-02</c:v>
                </c:pt>
                <c:pt idx="451">
                  <c:v>2014-01-05</c:v>
                </c:pt>
                <c:pt idx="452">
                  <c:v>2014-01-06</c:v>
                </c:pt>
                <c:pt idx="453">
                  <c:v>2014-01-08</c:v>
                </c:pt>
                <c:pt idx="454">
                  <c:v>2014-01-09</c:v>
                </c:pt>
                <c:pt idx="455">
                  <c:v>2014-01-12</c:v>
                </c:pt>
                <c:pt idx="456">
                  <c:v>2014-01-14</c:v>
                </c:pt>
                <c:pt idx="457">
                  <c:v>2014-01-15</c:v>
                </c:pt>
                <c:pt idx="458">
                  <c:v>2014-01-16</c:v>
                </c:pt>
                <c:pt idx="459">
                  <c:v>2014-01-19</c:v>
                </c:pt>
                <c:pt idx="460">
                  <c:v>2014-01-20</c:v>
                </c:pt>
                <c:pt idx="461">
                  <c:v>2014-01-22</c:v>
                </c:pt>
                <c:pt idx="462">
                  <c:v>2014-01-23</c:v>
                </c:pt>
                <c:pt idx="463">
                  <c:v>2014-01-26</c:v>
                </c:pt>
                <c:pt idx="464">
                  <c:v>2014-01-27</c:v>
                </c:pt>
                <c:pt idx="465">
                  <c:v>2014-01-28</c:v>
                </c:pt>
                <c:pt idx="466">
                  <c:v>2014-01-29</c:v>
                </c:pt>
                <c:pt idx="467">
                  <c:v>2014-02-02</c:v>
                </c:pt>
                <c:pt idx="468">
                  <c:v>2014-02-03</c:v>
                </c:pt>
                <c:pt idx="469">
                  <c:v>2014-02-04</c:v>
                </c:pt>
                <c:pt idx="470">
                  <c:v>2014-02-05</c:v>
                </c:pt>
                <c:pt idx="471">
                  <c:v>2014-02-06</c:v>
                </c:pt>
                <c:pt idx="472">
                  <c:v>2014-02-09</c:v>
                </c:pt>
                <c:pt idx="473">
                  <c:v>2014-02-10</c:v>
                </c:pt>
                <c:pt idx="474">
                  <c:v>2014-02-11</c:v>
                </c:pt>
                <c:pt idx="475">
                  <c:v>2014-02-12</c:v>
                </c:pt>
                <c:pt idx="476">
                  <c:v>2014-02-13</c:v>
                </c:pt>
                <c:pt idx="477">
                  <c:v>2014-02-16</c:v>
                </c:pt>
                <c:pt idx="478">
                  <c:v>2014-02-17</c:v>
                </c:pt>
                <c:pt idx="479">
                  <c:v>2014-02-18</c:v>
                </c:pt>
                <c:pt idx="480">
                  <c:v>2014-02-19</c:v>
                </c:pt>
                <c:pt idx="481">
                  <c:v>2014-02-20</c:v>
                </c:pt>
                <c:pt idx="482">
                  <c:v>2014-02-23</c:v>
                </c:pt>
                <c:pt idx="483">
                  <c:v>2014-02-24</c:v>
                </c:pt>
                <c:pt idx="484">
                  <c:v>2014-02-25</c:v>
                </c:pt>
                <c:pt idx="485">
                  <c:v>2014-02-26</c:v>
                </c:pt>
                <c:pt idx="486">
                  <c:v>2014-02-27</c:v>
                </c:pt>
                <c:pt idx="487">
                  <c:v>2014-03-02</c:v>
                </c:pt>
                <c:pt idx="488">
                  <c:v>2014-03-03</c:v>
                </c:pt>
                <c:pt idx="489">
                  <c:v>2014-03-05</c:v>
                </c:pt>
                <c:pt idx="490">
                  <c:v>2014-03-06</c:v>
                </c:pt>
                <c:pt idx="491">
                  <c:v>2014-03-09</c:v>
                </c:pt>
                <c:pt idx="492">
                  <c:v>2014-03-10</c:v>
                </c:pt>
                <c:pt idx="493">
                  <c:v>2014-03-11</c:v>
                </c:pt>
                <c:pt idx="494">
                  <c:v>2014-03-12</c:v>
                </c:pt>
                <c:pt idx="495">
                  <c:v>2014-03-13</c:v>
                </c:pt>
                <c:pt idx="496">
                  <c:v>2014-03-16</c:v>
                </c:pt>
                <c:pt idx="497">
                  <c:v>2014-03-18</c:v>
                </c:pt>
                <c:pt idx="498">
                  <c:v>2014-03-19</c:v>
                </c:pt>
                <c:pt idx="499">
                  <c:v>2014-03-20</c:v>
                </c:pt>
                <c:pt idx="500">
                  <c:v>2014-03-23</c:v>
                </c:pt>
                <c:pt idx="501">
                  <c:v>2014-03-25</c:v>
                </c:pt>
                <c:pt idx="502">
                  <c:v>2014-03-26</c:v>
                </c:pt>
                <c:pt idx="503">
                  <c:v>2014-03-27</c:v>
                </c:pt>
                <c:pt idx="504">
                  <c:v>2014-03-31</c:v>
                </c:pt>
                <c:pt idx="505">
                  <c:v>2014-04-01</c:v>
                </c:pt>
                <c:pt idx="506">
                  <c:v>2014-04-02</c:v>
                </c:pt>
                <c:pt idx="507">
                  <c:v>2014-04-03</c:v>
                </c:pt>
                <c:pt idx="508">
                  <c:v>2014-04-06</c:v>
                </c:pt>
                <c:pt idx="509">
                  <c:v>2014-04-07</c:v>
                </c:pt>
                <c:pt idx="510">
                  <c:v>2014-04-08</c:v>
                </c:pt>
                <c:pt idx="511">
                  <c:v>2014-04-09</c:v>
                </c:pt>
                <c:pt idx="512">
                  <c:v>2014-04-10</c:v>
                </c:pt>
                <c:pt idx="513">
                  <c:v>2014-04-13</c:v>
                </c:pt>
                <c:pt idx="514">
                  <c:v>2014-04-14</c:v>
                </c:pt>
                <c:pt idx="515">
                  <c:v>2014-04-15</c:v>
                </c:pt>
                <c:pt idx="516">
                  <c:v>2014-04-16</c:v>
                </c:pt>
                <c:pt idx="517">
                  <c:v>2014-04-17</c:v>
                </c:pt>
                <c:pt idx="518">
                  <c:v>2014-04-22</c:v>
                </c:pt>
                <c:pt idx="519">
                  <c:v>2014-04-23</c:v>
                </c:pt>
                <c:pt idx="520">
                  <c:v>2014-04-27</c:v>
                </c:pt>
                <c:pt idx="521">
                  <c:v>2014-04-28</c:v>
                </c:pt>
                <c:pt idx="522">
                  <c:v>2014-04-29</c:v>
                </c:pt>
                <c:pt idx="523">
                  <c:v>2014-04-30</c:v>
                </c:pt>
                <c:pt idx="524">
                  <c:v>2014-05-04</c:v>
                </c:pt>
                <c:pt idx="525">
                  <c:v>2014-05-05</c:v>
                </c:pt>
                <c:pt idx="526">
                  <c:v>2014-05-06</c:v>
                </c:pt>
                <c:pt idx="527">
                  <c:v>2014-05-07</c:v>
                </c:pt>
                <c:pt idx="528">
                  <c:v>2014-05-08</c:v>
                </c:pt>
                <c:pt idx="529">
                  <c:v>2014-05-11</c:v>
                </c:pt>
                <c:pt idx="530">
                  <c:v>2014-05-12</c:v>
                </c:pt>
                <c:pt idx="531">
                  <c:v>2014-05-14</c:v>
                </c:pt>
                <c:pt idx="532">
                  <c:v>2014-05-15</c:v>
                </c:pt>
                <c:pt idx="533">
                  <c:v>2014-05-18</c:v>
                </c:pt>
                <c:pt idx="534">
                  <c:v>2014-05-19</c:v>
                </c:pt>
                <c:pt idx="535">
                  <c:v>2014-05-20</c:v>
                </c:pt>
                <c:pt idx="536">
                  <c:v>2014-05-21</c:v>
                </c:pt>
                <c:pt idx="537">
                  <c:v>2014-05-22</c:v>
                </c:pt>
                <c:pt idx="538">
                  <c:v>2014-05-25</c:v>
                </c:pt>
                <c:pt idx="539">
                  <c:v>2014-05-26</c:v>
                </c:pt>
                <c:pt idx="540">
                  <c:v>2014-05-28</c:v>
                </c:pt>
                <c:pt idx="541">
                  <c:v>2014-05-29</c:v>
                </c:pt>
                <c:pt idx="542">
                  <c:v>2014-06-01</c:v>
                </c:pt>
                <c:pt idx="543">
                  <c:v>2014-06-02</c:v>
                </c:pt>
                <c:pt idx="544">
                  <c:v>2014-06-03</c:v>
                </c:pt>
                <c:pt idx="545">
                  <c:v>2014-06-04</c:v>
                </c:pt>
                <c:pt idx="546">
                  <c:v>2014-06-05</c:v>
                </c:pt>
                <c:pt idx="547">
                  <c:v>2014-06-09</c:v>
                </c:pt>
                <c:pt idx="548">
                  <c:v>2014-06-10</c:v>
                </c:pt>
                <c:pt idx="549">
                  <c:v>2014-06-11</c:v>
                </c:pt>
                <c:pt idx="550">
                  <c:v>2014-06-12</c:v>
                </c:pt>
                <c:pt idx="551">
                  <c:v>2014-06-15</c:v>
                </c:pt>
                <c:pt idx="552">
                  <c:v>2014-06-16</c:v>
                </c:pt>
                <c:pt idx="553">
                  <c:v>2014-06-17</c:v>
                </c:pt>
                <c:pt idx="554">
                  <c:v>2014-06-19</c:v>
                </c:pt>
                <c:pt idx="555">
                  <c:v>2014-06-22</c:v>
                </c:pt>
                <c:pt idx="556">
                  <c:v>2014-06-23</c:v>
                </c:pt>
                <c:pt idx="557">
                  <c:v>2014-06-24</c:v>
                </c:pt>
                <c:pt idx="558">
                  <c:v>2014-06-25</c:v>
                </c:pt>
                <c:pt idx="559">
                  <c:v>2014-06-26</c:v>
                </c:pt>
                <c:pt idx="560">
                  <c:v>2014-06-30</c:v>
                </c:pt>
                <c:pt idx="561">
                  <c:v>2014-07-02</c:v>
                </c:pt>
                <c:pt idx="562">
                  <c:v>2014-07-03</c:v>
                </c:pt>
                <c:pt idx="563">
                  <c:v>2014-07-06</c:v>
                </c:pt>
                <c:pt idx="564">
                  <c:v>2014-07-07</c:v>
                </c:pt>
                <c:pt idx="565">
                  <c:v>2014-07-08</c:v>
                </c:pt>
                <c:pt idx="566">
                  <c:v>2014-07-09</c:v>
                </c:pt>
                <c:pt idx="567">
                  <c:v>2014-07-10</c:v>
                </c:pt>
                <c:pt idx="568">
                  <c:v>2014-07-13</c:v>
                </c:pt>
                <c:pt idx="569">
                  <c:v>2014-07-15</c:v>
                </c:pt>
                <c:pt idx="570">
                  <c:v>2014-07-16</c:v>
                </c:pt>
                <c:pt idx="571">
                  <c:v>2014-07-21</c:v>
                </c:pt>
                <c:pt idx="572">
                  <c:v>2014-07-22</c:v>
                </c:pt>
                <c:pt idx="573">
                  <c:v>2014-07-24</c:v>
                </c:pt>
                <c:pt idx="574">
                  <c:v>2014-07-31</c:v>
                </c:pt>
                <c:pt idx="575">
                  <c:v>2014-08-03</c:v>
                </c:pt>
                <c:pt idx="576">
                  <c:v>2014-08-04</c:v>
                </c:pt>
                <c:pt idx="577">
                  <c:v>2014-08-05</c:v>
                </c:pt>
                <c:pt idx="578">
                  <c:v>2014-08-06</c:v>
                </c:pt>
                <c:pt idx="579">
                  <c:v>2014-08-07</c:v>
                </c:pt>
                <c:pt idx="580">
                  <c:v>2014-08-08</c:v>
                </c:pt>
                <c:pt idx="581">
                  <c:v>2014-08-11</c:v>
                </c:pt>
                <c:pt idx="582">
                  <c:v>2014-08-12</c:v>
                </c:pt>
                <c:pt idx="583">
                  <c:v>2014-08-13</c:v>
                </c:pt>
                <c:pt idx="584">
                  <c:v>2014-08-14</c:v>
                </c:pt>
                <c:pt idx="585">
                  <c:v>2014-08-17</c:v>
                </c:pt>
                <c:pt idx="586">
                  <c:v>2014-08-18</c:v>
                </c:pt>
                <c:pt idx="587">
                  <c:v>2014-08-19</c:v>
                </c:pt>
                <c:pt idx="588">
                  <c:v>2014-08-20</c:v>
                </c:pt>
                <c:pt idx="589">
                  <c:v>2014-08-21</c:v>
                </c:pt>
                <c:pt idx="590">
                  <c:v>2014-08-24</c:v>
                </c:pt>
                <c:pt idx="591">
                  <c:v>2014-08-25</c:v>
                </c:pt>
                <c:pt idx="592">
                  <c:v>2014-08-26</c:v>
                </c:pt>
                <c:pt idx="593">
                  <c:v>2014-08-27</c:v>
                </c:pt>
                <c:pt idx="594">
                  <c:v>2014-08-28</c:v>
                </c:pt>
                <c:pt idx="595">
                  <c:v>2014-08-31</c:v>
                </c:pt>
                <c:pt idx="596">
                  <c:v>2014-09-02</c:v>
                </c:pt>
                <c:pt idx="597">
                  <c:v>2014-09-03</c:v>
                </c:pt>
                <c:pt idx="598">
                  <c:v>2014-09-04</c:v>
                </c:pt>
                <c:pt idx="599">
                  <c:v>2014-09-08</c:v>
                </c:pt>
                <c:pt idx="600">
                  <c:v>2014-09-09</c:v>
                </c:pt>
                <c:pt idx="601">
                  <c:v>2014-09-10</c:v>
                </c:pt>
                <c:pt idx="602">
                  <c:v>2014-09-11</c:v>
                </c:pt>
                <c:pt idx="603">
                  <c:v>2014-09-14</c:v>
                </c:pt>
                <c:pt idx="604">
                  <c:v>2014-09-15</c:v>
                </c:pt>
                <c:pt idx="605">
                  <c:v>2014-09-16</c:v>
                </c:pt>
                <c:pt idx="606">
                  <c:v>2014-09-17</c:v>
                </c:pt>
                <c:pt idx="607">
                  <c:v>2014-09-21</c:v>
                </c:pt>
                <c:pt idx="608">
                  <c:v>2014-09-22</c:v>
                </c:pt>
                <c:pt idx="609">
                  <c:v>2014-09-24</c:v>
                </c:pt>
                <c:pt idx="610">
                  <c:v>2014-09-25</c:v>
                </c:pt>
                <c:pt idx="611">
                  <c:v>2014-09-28</c:v>
                </c:pt>
                <c:pt idx="612">
                  <c:v>2014-09-29</c:v>
                </c:pt>
                <c:pt idx="613">
                  <c:v>2014-09-30</c:v>
                </c:pt>
                <c:pt idx="614">
                  <c:v>2014-10-01</c:v>
                </c:pt>
                <c:pt idx="615">
                  <c:v>2014-10-02</c:v>
                </c:pt>
                <c:pt idx="616">
                  <c:v>2014-10-08</c:v>
                </c:pt>
                <c:pt idx="617">
                  <c:v>2014-10-09</c:v>
                </c:pt>
                <c:pt idx="618">
                  <c:v>2014-10-12</c:v>
                </c:pt>
                <c:pt idx="619">
                  <c:v>2014-10-13</c:v>
                </c:pt>
                <c:pt idx="620">
                  <c:v>2014-10-14</c:v>
                </c:pt>
                <c:pt idx="621">
                  <c:v>2014-10-15</c:v>
                </c:pt>
                <c:pt idx="622">
                  <c:v>2014-10-16</c:v>
                </c:pt>
                <c:pt idx="623">
                  <c:v>2014-10-19</c:v>
                </c:pt>
                <c:pt idx="624">
                  <c:v>2014-10-21</c:v>
                </c:pt>
                <c:pt idx="625">
                  <c:v>2014-10-23</c:v>
                </c:pt>
                <c:pt idx="626">
                  <c:v>2014-10-26</c:v>
                </c:pt>
                <c:pt idx="627">
                  <c:v>2014-10-27</c:v>
                </c:pt>
                <c:pt idx="628">
                  <c:v>2014-10-28</c:v>
                </c:pt>
                <c:pt idx="629">
                  <c:v>2014-10-30</c:v>
                </c:pt>
                <c:pt idx="630">
                  <c:v>2014-11-02</c:v>
                </c:pt>
                <c:pt idx="631">
                  <c:v>2014-11-03</c:v>
                </c:pt>
                <c:pt idx="632">
                  <c:v>2014-11-04</c:v>
                </c:pt>
                <c:pt idx="633">
                  <c:v>2014-11-05</c:v>
                </c:pt>
                <c:pt idx="634">
                  <c:v>2014-11-06</c:v>
                </c:pt>
                <c:pt idx="635">
                  <c:v>2014-11-09</c:v>
                </c:pt>
                <c:pt idx="636">
                  <c:v>2014-11-11</c:v>
                </c:pt>
                <c:pt idx="637">
                  <c:v>2014-11-12</c:v>
                </c:pt>
                <c:pt idx="638">
                  <c:v>2014-11-13</c:v>
                </c:pt>
                <c:pt idx="639">
                  <c:v>2014-11-17</c:v>
                </c:pt>
                <c:pt idx="640">
                  <c:v>2014-11-18</c:v>
                </c:pt>
                <c:pt idx="641">
                  <c:v>2014-11-19</c:v>
                </c:pt>
                <c:pt idx="642">
                  <c:v>2014-11-20</c:v>
                </c:pt>
                <c:pt idx="643">
                  <c:v>2014-11-24</c:v>
                </c:pt>
                <c:pt idx="644">
                  <c:v>2014-11-25</c:v>
                </c:pt>
                <c:pt idx="645">
                  <c:v>2014-11-26</c:v>
                </c:pt>
                <c:pt idx="646">
                  <c:v>2014-12-02</c:v>
                </c:pt>
                <c:pt idx="647">
                  <c:v>2014-12-03</c:v>
                </c:pt>
                <c:pt idx="648">
                  <c:v>2014-12-04</c:v>
                </c:pt>
                <c:pt idx="649">
                  <c:v>2014-12-08</c:v>
                </c:pt>
                <c:pt idx="650">
                  <c:v>2014-12-10</c:v>
                </c:pt>
                <c:pt idx="651">
                  <c:v>2014-12-14</c:v>
                </c:pt>
                <c:pt idx="652">
                  <c:v>2014-12-15</c:v>
                </c:pt>
                <c:pt idx="653">
                  <c:v>2014-12-16</c:v>
                </c:pt>
                <c:pt idx="654">
                  <c:v>2014-12-17</c:v>
                </c:pt>
                <c:pt idx="655">
                  <c:v>2014-12-18</c:v>
                </c:pt>
                <c:pt idx="656">
                  <c:v>2014-12-21</c:v>
                </c:pt>
                <c:pt idx="657">
                  <c:v>2014-12-23</c:v>
                </c:pt>
                <c:pt idx="658">
                  <c:v>2014-12-24</c:v>
                </c:pt>
                <c:pt idx="659">
                  <c:v>2014-12-25</c:v>
                </c:pt>
                <c:pt idx="660">
                  <c:v>2014-12-29</c:v>
                </c:pt>
                <c:pt idx="661">
                  <c:v>2015-01-11</c:v>
                </c:pt>
                <c:pt idx="662">
                  <c:v>2015-01-14</c:v>
                </c:pt>
                <c:pt idx="663">
                  <c:v>2015-01-15</c:v>
                </c:pt>
                <c:pt idx="664">
                  <c:v>2015-01-19</c:v>
                </c:pt>
                <c:pt idx="665">
                  <c:v>2015-01-20</c:v>
                </c:pt>
                <c:pt idx="666">
                  <c:v>2015-01-21</c:v>
                </c:pt>
                <c:pt idx="667">
                  <c:v>2015-01-22</c:v>
                </c:pt>
                <c:pt idx="668">
                  <c:v>2015-01-27</c:v>
                </c:pt>
                <c:pt idx="669">
                  <c:v>2015-01-28</c:v>
                </c:pt>
                <c:pt idx="670">
                  <c:v>2015-02-01</c:v>
                </c:pt>
                <c:pt idx="671">
                  <c:v>2015-02-02</c:v>
                </c:pt>
                <c:pt idx="672">
                  <c:v>2015-02-04</c:v>
                </c:pt>
                <c:pt idx="673">
                  <c:v>2015-02-10</c:v>
                </c:pt>
                <c:pt idx="674">
                  <c:v>2015-02-11</c:v>
                </c:pt>
                <c:pt idx="675">
                  <c:v>2015-02-12</c:v>
                </c:pt>
                <c:pt idx="676">
                  <c:v>2015-02-16</c:v>
                </c:pt>
                <c:pt idx="677">
                  <c:v>2015-02-17</c:v>
                </c:pt>
                <c:pt idx="678">
                  <c:v>2015-02-18</c:v>
                </c:pt>
                <c:pt idx="679">
                  <c:v>2015-02-23</c:v>
                </c:pt>
                <c:pt idx="680">
                  <c:v>2015-02-26</c:v>
                </c:pt>
                <c:pt idx="681">
                  <c:v>2015-03-01</c:v>
                </c:pt>
                <c:pt idx="682">
                  <c:v>2015-03-02</c:v>
                </c:pt>
                <c:pt idx="683">
                  <c:v>2015-03-05</c:v>
                </c:pt>
                <c:pt idx="684">
                  <c:v>2015-03-08</c:v>
                </c:pt>
                <c:pt idx="685">
                  <c:v>2015-03-10</c:v>
                </c:pt>
                <c:pt idx="686">
                  <c:v>2015-03-11</c:v>
                </c:pt>
                <c:pt idx="687">
                  <c:v>2015-03-12</c:v>
                </c:pt>
                <c:pt idx="688">
                  <c:v>2015-03-15</c:v>
                </c:pt>
                <c:pt idx="689">
                  <c:v>2015-03-17</c:v>
                </c:pt>
                <c:pt idx="690">
                  <c:v>2015-03-19</c:v>
                </c:pt>
                <c:pt idx="691">
                  <c:v>2015-03-22</c:v>
                </c:pt>
                <c:pt idx="692">
                  <c:v>2015-03-24</c:v>
                </c:pt>
                <c:pt idx="693">
                  <c:v>2015-03-25</c:v>
                </c:pt>
                <c:pt idx="694">
                  <c:v>2015-03-29</c:v>
                </c:pt>
                <c:pt idx="695">
                  <c:v>2015-03-30</c:v>
                </c:pt>
                <c:pt idx="696">
                  <c:v>2015-03-31</c:v>
                </c:pt>
                <c:pt idx="697">
                  <c:v>2015-04-01</c:v>
                </c:pt>
                <c:pt idx="698">
                  <c:v>2015-04-02</c:v>
                </c:pt>
                <c:pt idx="699">
                  <c:v>2015-04-05</c:v>
                </c:pt>
                <c:pt idx="700">
                  <c:v>2015-04-06</c:v>
                </c:pt>
                <c:pt idx="701">
                  <c:v>2015-04-07</c:v>
                </c:pt>
                <c:pt idx="702">
                  <c:v>2015-04-08</c:v>
                </c:pt>
                <c:pt idx="703">
                  <c:v>2015-04-09</c:v>
                </c:pt>
                <c:pt idx="704">
                  <c:v>2015-04-14</c:v>
                </c:pt>
                <c:pt idx="705">
                  <c:v>2015-04-15</c:v>
                </c:pt>
                <c:pt idx="706">
                  <c:v>2015-04-16</c:v>
                </c:pt>
                <c:pt idx="707">
                  <c:v>2015-04-20</c:v>
                </c:pt>
                <c:pt idx="708">
                  <c:v>2015-04-22</c:v>
                </c:pt>
                <c:pt idx="709">
                  <c:v>2015-04-23</c:v>
                </c:pt>
                <c:pt idx="710">
                  <c:v>2015-04-26</c:v>
                </c:pt>
                <c:pt idx="711">
                  <c:v>2015-04-29</c:v>
                </c:pt>
                <c:pt idx="712">
                  <c:v>2015-04-30</c:v>
                </c:pt>
                <c:pt idx="713">
                  <c:v>2015-05-06</c:v>
                </c:pt>
                <c:pt idx="714">
                  <c:v>2015-05-07</c:v>
                </c:pt>
                <c:pt idx="715">
                  <c:v>2015-05-10</c:v>
                </c:pt>
                <c:pt idx="716">
                  <c:v>2015-05-11</c:v>
                </c:pt>
                <c:pt idx="717">
                  <c:v>2015-05-12</c:v>
                </c:pt>
                <c:pt idx="718">
                  <c:v>2015-05-13</c:v>
                </c:pt>
                <c:pt idx="719">
                  <c:v>2015-05-14</c:v>
                </c:pt>
                <c:pt idx="720">
                  <c:v>2015-05-17</c:v>
                </c:pt>
                <c:pt idx="721">
                  <c:v>2015-05-18</c:v>
                </c:pt>
                <c:pt idx="722">
                  <c:v>2015-05-19</c:v>
                </c:pt>
                <c:pt idx="723">
                  <c:v>2015-05-20</c:v>
                </c:pt>
                <c:pt idx="724">
                  <c:v>2015-05-21</c:v>
                </c:pt>
                <c:pt idx="725">
                  <c:v>2015-05-24</c:v>
                </c:pt>
                <c:pt idx="726">
                  <c:v>2015-05-25</c:v>
                </c:pt>
                <c:pt idx="727">
                  <c:v>2015-05-26</c:v>
                </c:pt>
                <c:pt idx="728">
                  <c:v>2015-05-27</c:v>
                </c:pt>
                <c:pt idx="729">
                  <c:v>2015-05-28</c:v>
                </c:pt>
                <c:pt idx="730">
                  <c:v>2015-06-01</c:v>
                </c:pt>
                <c:pt idx="731">
                  <c:v>2015-06-02</c:v>
                </c:pt>
                <c:pt idx="732">
                  <c:v>2015-06-03</c:v>
                </c:pt>
                <c:pt idx="733">
                  <c:v>2015-06-04</c:v>
                </c:pt>
                <c:pt idx="734">
                  <c:v>2015-06-07</c:v>
                </c:pt>
                <c:pt idx="735">
                  <c:v>2015-06-08</c:v>
                </c:pt>
                <c:pt idx="736">
                  <c:v>2015-06-09</c:v>
                </c:pt>
                <c:pt idx="737">
                  <c:v>2015-06-10</c:v>
                </c:pt>
                <c:pt idx="738">
                  <c:v>2015-06-14</c:v>
                </c:pt>
                <c:pt idx="739">
                  <c:v>2015-06-16</c:v>
                </c:pt>
                <c:pt idx="740">
                  <c:v>2015-06-21</c:v>
                </c:pt>
                <c:pt idx="741">
                  <c:v>2015-06-22</c:v>
                </c:pt>
                <c:pt idx="742">
                  <c:v>2015-06-23</c:v>
                </c:pt>
                <c:pt idx="743">
                  <c:v>2015-06-24</c:v>
                </c:pt>
                <c:pt idx="744">
                  <c:v>2015-06-29</c:v>
                </c:pt>
                <c:pt idx="745">
                  <c:v>2015-07-06</c:v>
                </c:pt>
                <c:pt idx="746">
                  <c:v>2015-07-08</c:v>
                </c:pt>
                <c:pt idx="747">
                  <c:v>2015-07-09</c:v>
                </c:pt>
                <c:pt idx="748">
                  <c:v>2015-07-13</c:v>
                </c:pt>
                <c:pt idx="749">
                  <c:v>2015-07-14</c:v>
                </c:pt>
                <c:pt idx="750">
                  <c:v>2015-07-15</c:v>
                </c:pt>
                <c:pt idx="751">
                  <c:v>2015-07-29</c:v>
                </c:pt>
                <c:pt idx="752">
                  <c:v>2015-08-02</c:v>
                </c:pt>
                <c:pt idx="753">
                  <c:v>2015-08-09</c:v>
                </c:pt>
                <c:pt idx="754">
                  <c:v>2015-08-10</c:v>
                </c:pt>
                <c:pt idx="755">
                  <c:v>2015-08-12</c:v>
                </c:pt>
                <c:pt idx="756">
                  <c:v>2015-08-16</c:v>
                </c:pt>
                <c:pt idx="757">
                  <c:v>2015-08-19</c:v>
                </c:pt>
                <c:pt idx="758">
                  <c:v>2015-08-20</c:v>
                </c:pt>
                <c:pt idx="759">
                  <c:v>2015-08-23</c:v>
                </c:pt>
                <c:pt idx="760">
                  <c:v>2015-08-24</c:v>
                </c:pt>
                <c:pt idx="761">
                  <c:v>2015-08-27</c:v>
                </c:pt>
                <c:pt idx="762">
                  <c:v>2015-08-30</c:v>
                </c:pt>
                <c:pt idx="763">
                  <c:v>2015-08-31</c:v>
                </c:pt>
                <c:pt idx="764">
                  <c:v>2015-09-03</c:v>
                </c:pt>
                <c:pt idx="765">
                  <c:v>2015-09-07</c:v>
                </c:pt>
                <c:pt idx="766">
                  <c:v>2015-09-14</c:v>
                </c:pt>
                <c:pt idx="767">
                  <c:v>2015-09-16</c:v>
                </c:pt>
                <c:pt idx="768">
                  <c:v>2015-09-17</c:v>
                </c:pt>
                <c:pt idx="769">
                  <c:v>2015-09-20</c:v>
                </c:pt>
                <c:pt idx="770">
                  <c:v>2015-09-21</c:v>
                </c:pt>
                <c:pt idx="771">
                  <c:v>2015-09-22</c:v>
                </c:pt>
                <c:pt idx="772">
                  <c:v>2015-09-29</c:v>
                </c:pt>
                <c:pt idx="773">
                  <c:v>2015-09-30</c:v>
                </c:pt>
                <c:pt idx="774">
                  <c:v>2015-10-07</c:v>
                </c:pt>
                <c:pt idx="775">
                  <c:v>2015-10-11</c:v>
                </c:pt>
                <c:pt idx="776">
                  <c:v>2015-10-12</c:v>
                </c:pt>
                <c:pt idx="777">
                  <c:v>2015-10-13</c:v>
                </c:pt>
                <c:pt idx="778">
                  <c:v>2015-10-18</c:v>
                </c:pt>
                <c:pt idx="779">
                  <c:v>2015-10-20</c:v>
                </c:pt>
                <c:pt idx="780">
                  <c:v>2015-10-21</c:v>
                </c:pt>
                <c:pt idx="781">
                  <c:v>2015-10-22</c:v>
                </c:pt>
                <c:pt idx="782">
                  <c:v>2015-10-25</c:v>
                </c:pt>
                <c:pt idx="783">
                  <c:v>2015-10-26</c:v>
                </c:pt>
                <c:pt idx="784">
                  <c:v>2015-10-27</c:v>
                </c:pt>
                <c:pt idx="785">
                  <c:v>2015-10-28</c:v>
                </c:pt>
                <c:pt idx="786">
                  <c:v>2015-10-29</c:v>
                </c:pt>
                <c:pt idx="787">
                  <c:v>2015-11-01</c:v>
                </c:pt>
                <c:pt idx="788">
                  <c:v>2015-11-02</c:v>
                </c:pt>
                <c:pt idx="789">
                  <c:v>2015-11-04</c:v>
                </c:pt>
                <c:pt idx="790">
                  <c:v>2015-11-05</c:v>
                </c:pt>
                <c:pt idx="791">
                  <c:v>2015-11-08</c:v>
                </c:pt>
                <c:pt idx="792">
                  <c:v>2015-11-09</c:v>
                </c:pt>
                <c:pt idx="793">
                  <c:v>2015-11-10</c:v>
                </c:pt>
                <c:pt idx="794">
                  <c:v>2015-11-11</c:v>
                </c:pt>
                <c:pt idx="795">
                  <c:v>2015-11-12</c:v>
                </c:pt>
                <c:pt idx="796">
                  <c:v>2015-11-15</c:v>
                </c:pt>
                <c:pt idx="797">
                  <c:v>2015-11-18</c:v>
                </c:pt>
                <c:pt idx="798">
                  <c:v>2015-11-19</c:v>
                </c:pt>
                <c:pt idx="799">
                  <c:v>2015-11-22</c:v>
                </c:pt>
                <c:pt idx="800">
                  <c:v>2015-11-23</c:v>
                </c:pt>
                <c:pt idx="801">
                  <c:v>2015-11-24</c:v>
                </c:pt>
                <c:pt idx="802">
                  <c:v>2015-11-25</c:v>
                </c:pt>
                <c:pt idx="803">
                  <c:v>2015-11-26</c:v>
                </c:pt>
                <c:pt idx="804">
                  <c:v>2015-11-29</c:v>
                </c:pt>
                <c:pt idx="805">
                  <c:v>2015-11-30</c:v>
                </c:pt>
                <c:pt idx="806">
                  <c:v>2015-12-02</c:v>
                </c:pt>
                <c:pt idx="807">
                  <c:v>2015-12-03</c:v>
                </c:pt>
                <c:pt idx="808">
                  <c:v>2015-12-07</c:v>
                </c:pt>
                <c:pt idx="809">
                  <c:v>2015-12-08</c:v>
                </c:pt>
                <c:pt idx="810">
                  <c:v>2015-12-10</c:v>
                </c:pt>
                <c:pt idx="811">
                  <c:v>2015-12-13</c:v>
                </c:pt>
                <c:pt idx="812">
                  <c:v>2015-12-14</c:v>
                </c:pt>
                <c:pt idx="813">
                  <c:v>2015-12-15</c:v>
                </c:pt>
                <c:pt idx="814">
                  <c:v>2015-12-17</c:v>
                </c:pt>
                <c:pt idx="815">
                  <c:v>2015-12-21</c:v>
                </c:pt>
                <c:pt idx="816">
                  <c:v>2015-12-22</c:v>
                </c:pt>
                <c:pt idx="817">
                  <c:v>2015-12-24</c:v>
                </c:pt>
                <c:pt idx="818">
                  <c:v>2015-12-27</c:v>
                </c:pt>
                <c:pt idx="819">
                  <c:v>2015-12-28</c:v>
                </c:pt>
                <c:pt idx="820">
                  <c:v>2015-12-29</c:v>
                </c:pt>
                <c:pt idx="821">
                  <c:v>2015-12-30</c:v>
                </c:pt>
                <c:pt idx="822">
                  <c:v>2015-12-31</c:v>
                </c:pt>
                <c:pt idx="823">
                  <c:v>2016-01-03</c:v>
                </c:pt>
                <c:pt idx="824">
                  <c:v>2016-01-04</c:v>
                </c:pt>
                <c:pt idx="825">
                  <c:v>2016-01-05</c:v>
                </c:pt>
                <c:pt idx="826">
                  <c:v>2016-01-10</c:v>
                </c:pt>
                <c:pt idx="827">
                  <c:v>2016-01-11</c:v>
                </c:pt>
                <c:pt idx="828">
                  <c:v>2016-01-12</c:v>
                </c:pt>
                <c:pt idx="829">
                  <c:v>2016-01-14</c:v>
                </c:pt>
                <c:pt idx="830">
                  <c:v>2016-01-17</c:v>
                </c:pt>
                <c:pt idx="831">
                  <c:v>2016-01-18</c:v>
                </c:pt>
                <c:pt idx="832">
                  <c:v>2016-01-19</c:v>
                </c:pt>
                <c:pt idx="833">
                  <c:v>2016-01-20</c:v>
                </c:pt>
                <c:pt idx="834">
                  <c:v>2016-01-26</c:v>
                </c:pt>
                <c:pt idx="835">
                  <c:v>2016-01-27</c:v>
                </c:pt>
                <c:pt idx="836">
                  <c:v>2016-01-28</c:v>
                </c:pt>
                <c:pt idx="837">
                  <c:v>2016-02-03</c:v>
                </c:pt>
                <c:pt idx="838">
                  <c:v>2016-02-04</c:v>
                </c:pt>
                <c:pt idx="839">
                  <c:v>2016-02-09</c:v>
                </c:pt>
                <c:pt idx="840">
                  <c:v>2016-02-11</c:v>
                </c:pt>
                <c:pt idx="841">
                  <c:v>2016-02-15</c:v>
                </c:pt>
                <c:pt idx="842">
                  <c:v>2016-02-16</c:v>
                </c:pt>
                <c:pt idx="843">
                  <c:v>2016-02-17</c:v>
                </c:pt>
                <c:pt idx="844">
                  <c:v>2016-02-21</c:v>
                </c:pt>
                <c:pt idx="845">
                  <c:v>2016-02-22</c:v>
                </c:pt>
                <c:pt idx="846">
                  <c:v>2016-02-23</c:v>
                </c:pt>
                <c:pt idx="847">
                  <c:v>2016-02-24</c:v>
                </c:pt>
                <c:pt idx="848">
                  <c:v>2016-02-28</c:v>
                </c:pt>
                <c:pt idx="849">
                  <c:v>2016-02-29</c:v>
                </c:pt>
                <c:pt idx="850">
                  <c:v>2016-03-02</c:v>
                </c:pt>
                <c:pt idx="851">
                  <c:v>2016-03-03</c:v>
                </c:pt>
                <c:pt idx="852">
                  <c:v>2016-03-06</c:v>
                </c:pt>
                <c:pt idx="853">
                  <c:v>2016-03-07</c:v>
                </c:pt>
                <c:pt idx="854">
                  <c:v>2016-03-08</c:v>
                </c:pt>
                <c:pt idx="855">
                  <c:v>2016-03-09</c:v>
                </c:pt>
                <c:pt idx="856">
                  <c:v>2016-03-10</c:v>
                </c:pt>
                <c:pt idx="857">
                  <c:v>2016-03-13</c:v>
                </c:pt>
                <c:pt idx="858">
                  <c:v>2016-03-14</c:v>
                </c:pt>
                <c:pt idx="859">
                  <c:v>2016-03-16</c:v>
                </c:pt>
                <c:pt idx="860">
                  <c:v>2016-03-17</c:v>
                </c:pt>
                <c:pt idx="861">
                  <c:v>2016-03-20</c:v>
                </c:pt>
                <c:pt idx="862">
                  <c:v>2016-03-21</c:v>
                </c:pt>
                <c:pt idx="863">
                  <c:v>2016-03-22</c:v>
                </c:pt>
                <c:pt idx="864">
                  <c:v>2016-03-24</c:v>
                </c:pt>
                <c:pt idx="865">
                  <c:v>2016-03-27</c:v>
                </c:pt>
                <c:pt idx="866">
                  <c:v>2016-03-28</c:v>
                </c:pt>
                <c:pt idx="867">
                  <c:v>2016-03-29</c:v>
                </c:pt>
                <c:pt idx="868">
                  <c:v>2016-03-30</c:v>
                </c:pt>
                <c:pt idx="869">
                  <c:v>2016-03-31</c:v>
                </c:pt>
                <c:pt idx="870">
                  <c:v>2016-04-03</c:v>
                </c:pt>
                <c:pt idx="871">
                  <c:v>2016-04-04</c:v>
                </c:pt>
                <c:pt idx="872">
                  <c:v>2016-04-05</c:v>
                </c:pt>
                <c:pt idx="873">
                  <c:v>2016-04-06</c:v>
                </c:pt>
                <c:pt idx="874">
                  <c:v>2016-04-07</c:v>
                </c:pt>
                <c:pt idx="875">
                  <c:v>2016-04-10</c:v>
                </c:pt>
                <c:pt idx="876">
                  <c:v>2016-04-11</c:v>
                </c:pt>
                <c:pt idx="877">
                  <c:v>2016-04-12</c:v>
                </c:pt>
                <c:pt idx="878">
                  <c:v>2016-04-13</c:v>
                </c:pt>
                <c:pt idx="879">
                  <c:v>2016-04-14</c:v>
                </c:pt>
                <c:pt idx="880">
                  <c:v>2016-04-17</c:v>
                </c:pt>
                <c:pt idx="881">
                  <c:v>2016-04-18</c:v>
                </c:pt>
                <c:pt idx="882">
                  <c:v>2016-04-19</c:v>
                </c:pt>
                <c:pt idx="883">
                  <c:v>2016-04-20</c:v>
                </c:pt>
                <c:pt idx="884">
                  <c:v>2016-04-21</c:v>
                </c:pt>
                <c:pt idx="885">
                  <c:v>2016-04-24</c:v>
                </c:pt>
                <c:pt idx="886">
                  <c:v>2016-04-26</c:v>
                </c:pt>
                <c:pt idx="887">
                  <c:v>2016-04-27</c:v>
                </c:pt>
                <c:pt idx="888">
                  <c:v>2016-04-28</c:v>
                </c:pt>
                <c:pt idx="889">
                  <c:v>2016-05-03</c:v>
                </c:pt>
                <c:pt idx="890">
                  <c:v>2016-05-04</c:v>
                </c:pt>
                <c:pt idx="891">
                  <c:v>2016-05-05</c:v>
                </c:pt>
                <c:pt idx="892">
                  <c:v>2016-05-08</c:v>
                </c:pt>
                <c:pt idx="893">
                  <c:v>2016-05-09</c:v>
                </c:pt>
                <c:pt idx="894">
                  <c:v>2016-05-10</c:v>
                </c:pt>
                <c:pt idx="895">
                  <c:v>2016-05-11</c:v>
                </c:pt>
                <c:pt idx="896">
                  <c:v>2016-05-12</c:v>
                </c:pt>
                <c:pt idx="897">
                  <c:v>2016-05-15</c:v>
                </c:pt>
                <c:pt idx="898">
                  <c:v>2016-05-16</c:v>
                </c:pt>
                <c:pt idx="899">
                  <c:v>2016-05-17</c:v>
                </c:pt>
                <c:pt idx="900">
                  <c:v>2016-05-18</c:v>
                </c:pt>
                <c:pt idx="901">
                  <c:v>2016-05-19</c:v>
                </c:pt>
                <c:pt idx="902">
                  <c:v>2016-05-22</c:v>
                </c:pt>
                <c:pt idx="903">
                  <c:v>2016-05-23</c:v>
                </c:pt>
                <c:pt idx="904">
                  <c:v>2016-05-24</c:v>
                </c:pt>
                <c:pt idx="905">
                  <c:v>2016-05-25</c:v>
                </c:pt>
                <c:pt idx="906">
                  <c:v>2016-05-29</c:v>
                </c:pt>
                <c:pt idx="907">
                  <c:v>2016-05-30</c:v>
                </c:pt>
                <c:pt idx="908">
                  <c:v>2016-05-31</c:v>
                </c:pt>
                <c:pt idx="909">
                  <c:v>2016-06-01</c:v>
                </c:pt>
                <c:pt idx="910">
                  <c:v>2016-06-02</c:v>
                </c:pt>
                <c:pt idx="911">
                  <c:v>2016-06-05</c:v>
                </c:pt>
                <c:pt idx="912">
                  <c:v>2016-06-06</c:v>
                </c:pt>
                <c:pt idx="913">
                  <c:v>2016-06-07</c:v>
                </c:pt>
                <c:pt idx="914">
                  <c:v>2016-06-08</c:v>
                </c:pt>
                <c:pt idx="915">
                  <c:v>2016-06-09</c:v>
                </c:pt>
                <c:pt idx="916">
                  <c:v>2016-06-12</c:v>
                </c:pt>
                <c:pt idx="917">
                  <c:v>2016-06-13</c:v>
                </c:pt>
                <c:pt idx="918">
                  <c:v>2016-06-14</c:v>
                </c:pt>
                <c:pt idx="919">
                  <c:v>2016-06-15</c:v>
                </c:pt>
                <c:pt idx="920">
                  <c:v>2016-06-16</c:v>
                </c:pt>
                <c:pt idx="921">
                  <c:v>2016-06-19</c:v>
                </c:pt>
                <c:pt idx="922">
                  <c:v>2016-06-20</c:v>
                </c:pt>
                <c:pt idx="923">
                  <c:v>2016-06-21</c:v>
                </c:pt>
                <c:pt idx="924">
                  <c:v>2016-06-23</c:v>
                </c:pt>
                <c:pt idx="925">
                  <c:v>2016-06-27</c:v>
                </c:pt>
                <c:pt idx="926">
                  <c:v>2016-06-28</c:v>
                </c:pt>
                <c:pt idx="927">
                  <c:v>2016-06-29</c:v>
                </c:pt>
                <c:pt idx="928">
                  <c:v>2016-07-04</c:v>
                </c:pt>
                <c:pt idx="929">
                  <c:v>2016-07-11</c:v>
                </c:pt>
                <c:pt idx="930">
                  <c:v>2016-07-12</c:v>
                </c:pt>
                <c:pt idx="931">
                  <c:v>2016-07-13</c:v>
                </c:pt>
                <c:pt idx="932">
                  <c:v>2016-07-14</c:v>
                </c:pt>
                <c:pt idx="933">
                  <c:v>2016-07-17</c:v>
                </c:pt>
                <c:pt idx="934">
                  <c:v>2016-07-18</c:v>
                </c:pt>
                <c:pt idx="935">
                  <c:v>2016-07-21</c:v>
                </c:pt>
                <c:pt idx="936">
                  <c:v>2016-07-24</c:v>
                </c:pt>
                <c:pt idx="937">
                  <c:v>2016-07-26</c:v>
                </c:pt>
                <c:pt idx="938">
                  <c:v>2016-07-27</c:v>
                </c:pt>
                <c:pt idx="939">
                  <c:v>2016-07-28</c:v>
                </c:pt>
                <c:pt idx="940">
                  <c:v>2016-07-31</c:v>
                </c:pt>
                <c:pt idx="941">
                  <c:v>2016-08-01</c:v>
                </c:pt>
                <c:pt idx="942">
                  <c:v>2016-08-04</c:v>
                </c:pt>
                <c:pt idx="943">
                  <c:v>2016-08-07</c:v>
                </c:pt>
                <c:pt idx="944">
                  <c:v>2016-08-08</c:v>
                </c:pt>
                <c:pt idx="945">
                  <c:v>2016-08-11</c:v>
                </c:pt>
                <c:pt idx="946">
                  <c:v>2016-08-14</c:v>
                </c:pt>
                <c:pt idx="947">
                  <c:v>2016-08-15</c:v>
                </c:pt>
                <c:pt idx="948">
                  <c:v>2016-08-18</c:v>
                </c:pt>
                <c:pt idx="949">
                  <c:v>2016-08-21</c:v>
                </c:pt>
                <c:pt idx="950">
                  <c:v>2016-08-22</c:v>
                </c:pt>
                <c:pt idx="951">
                  <c:v>2016-08-23</c:v>
                </c:pt>
                <c:pt idx="952">
                  <c:v>2016-08-24</c:v>
                </c:pt>
                <c:pt idx="953">
                  <c:v>2016-08-30</c:v>
                </c:pt>
                <c:pt idx="954">
                  <c:v>2016-09-04</c:v>
                </c:pt>
                <c:pt idx="955">
                  <c:v>2016-09-05</c:v>
                </c:pt>
                <c:pt idx="956">
                  <c:v>2016-09-06</c:v>
                </c:pt>
                <c:pt idx="957">
                  <c:v>2016-09-07</c:v>
                </c:pt>
                <c:pt idx="958">
                  <c:v>2016-09-15</c:v>
                </c:pt>
                <c:pt idx="959">
                  <c:v>2016-09-18</c:v>
                </c:pt>
                <c:pt idx="960">
                  <c:v>2016-09-19</c:v>
                </c:pt>
                <c:pt idx="961">
                  <c:v>2016-09-20</c:v>
                </c:pt>
                <c:pt idx="962">
                  <c:v>2016-09-22</c:v>
                </c:pt>
                <c:pt idx="963">
                  <c:v>2016-09-25</c:v>
                </c:pt>
                <c:pt idx="964">
                  <c:v>2016-09-26</c:v>
                </c:pt>
                <c:pt idx="965">
                  <c:v>2016-09-28</c:v>
                </c:pt>
                <c:pt idx="966">
                  <c:v>2016-10-04</c:v>
                </c:pt>
                <c:pt idx="967">
                  <c:v>2016-10-09</c:v>
                </c:pt>
                <c:pt idx="968">
                  <c:v>2016-10-10</c:v>
                </c:pt>
                <c:pt idx="969">
                  <c:v>2016-10-11</c:v>
                </c:pt>
                <c:pt idx="970">
                  <c:v>2016-10-12</c:v>
                </c:pt>
                <c:pt idx="971">
                  <c:v>2016-10-13</c:v>
                </c:pt>
                <c:pt idx="972">
                  <c:v>2016-10-16</c:v>
                </c:pt>
                <c:pt idx="973">
                  <c:v>2016-10-17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2016-10-23</c:v>
                </c:pt>
                <c:pt idx="977">
                  <c:v>2016-10-26</c:v>
                </c:pt>
                <c:pt idx="978">
                  <c:v>2016-10-30</c:v>
                </c:pt>
                <c:pt idx="979">
                  <c:v>2016-10-31</c:v>
                </c:pt>
                <c:pt idx="980">
                  <c:v>2016-11-02</c:v>
                </c:pt>
                <c:pt idx="981">
                  <c:v>2016-11-03</c:v>
                </c:pt>
                <c:pt idx="982">
                  <c:v>2016-11-06</c:v>
                </c:pt>
                <c:pt idx="983">
                  <c:v>2016-11-07</c:v>
                </c:pt>
                <c:pt idx="984">
                  <c:v>2016-11-09</c:v>
                </c:pt>
                <c:pt idx="985">
                  <c:v>2016-11-13</c:v>
                </c:pt>
                <c:pt idx="986">
                  <c:v>2016-11-14</c:v>
                </c:pt>
                <c:pt idx="987">
                  <c:v>2016-11-16</c:v>
                </c:pt>
                <c:pt idx="988">
                  <c:v>2016-11-17</c:v>
                </c:pt>
                <c:pt idx="989">
                  <c:v>2016-11-20</c:v>
                </c:pt>
                <c:pt idx="990">
                  <c:v>2016-11-21</c:v>
                </c:pt>
                <c:pt idx="991">
                  <c:v>2016-11-22</c:v>
                </c:pt>
                <c:pt idx="992">
                  <c:v>2016-11-23</c:v>
                </c:pt>
                <c:pt idx="993">
                  <c:v>2016-11-24</c:v>
                </c:pt>
                <c:pt idx="994">
                  <c:v>2016-11-27</c:v>
                </c:pt>
                <c:pt idx="995">
                  <c:v>2016-11-28</c:v>
                </c:pt>
                <c:pt idx="996">
                  <c:v>2016-11-30</c:v>
                </c:pt>
                <c:pt idx="997">
                  <c:v>2016-12-01</c:v>
                </c:pt>
                <c:pt idx="998">
                  <c:v>2016-12-04</c:v>
                </c:pt>
                <c:pt idx="999">
                  <c:v>2016-12-05</c:v>
                </c:pt>
                <c:pt idx="1000">
                  <c:v>2016-12-06</c:v>
                </c:pt>
                <c:pt idx="1001">
                  <c:v>2016-12-07</c:v>
                </c:pt>
                <c:pt idx="1002">
                  <c:v>2016-12-08</c:v>
                </c:pt>
                <c:pt idx="1003">
                  <c:v>2016-12-12</c:v>
                </c:pt>
                <c:pt idx="1004">
                  <c:v>2016-12-13</c:v>
                </c:pt>
                <c:pt idx="1005">
                  <c:v>2016-12-14</c:v>
                </c:pt>
                <c:pt idx="1006">
                  <c:v>2016-12-15</c:v>
                </c:pt>
                <c:pt idx="1007">
                  <c:v>2016-12-18</c:v>
                </c:pt>
                <c:pt idx="1008">
                  <c:v>2016-12-19</c:v>
                </c:pt>
                <c:pt idx="1009">
                  <c:v>2016-12-20</c:v>
                </c:pt>
                <c:pt idx="1010">
                  <c:v>2016-12-21</c:v>
                </c:pt>
                <c:pt idx="1011">
                  <c:v>2016-12-22</c:v>
                </c:pt>
                <c:pt idx="1012">
                  <c:v>2016-12-25</c:v>
                </c:pt>
                <c:pt idx="1013">
                  <c:v>2016-12-26</c:v>
                </c:pt>
                <c:pt idx="1014">
                  <c:v>2016-12-27</c:v>
                </c:pt>
                <c:pt idx="1015">
                  <c:v>2016-12-28</c:v>
                </c:pt>
                <c:pt idx="1016">
                  <c:v>2016-12-29</c:v>
                </c:pt>
                <c:pt idx="1017">
                  <c:v>2017-01-02</c:v>
                </c:pt>
                <c:pt idx="1018">
                  <c:v>2017-01-03</c:v>
                </c:pt>
                <c:pt idx="1019">
                  <c:v>2017-01-04</c:v>
                </c:pt>
                <c:pt idx="1020">
                  <c:v>2017-01-05</c:v>
                </c:pt>
                <c:pt idx="1021">
                  <c:v>2017-01-09</c:v>
                </c:pt>
                <c:pt idx="1022">
                  <c:v>2017-01-15</c:v>
                </c:pt>
                <c:pt idx="1023">
                  <c:v>2017-01-16</c:v>
                </c:pt>
                <c:pt idx="1024">
                  <c:v>2017-01-17</c:v>
                </c:pt>
                <c:pt idx="1025">
                  <c:v>2017-01-18</c:v>
                </c:pt>
                <c:pt idx="1026">
                  <c:v>2017-01-19</c:v>
                </c:pt>
                <c:pt idx="1027">
                  <c:v>2017-01-22</c:v>
                </c:pt>
                <c:pt idx="1028">
                  <c:v>2017-01-23</c:v>
                </c:pt>
                <c:pt idx="1029">
                  <c:v>2017-01-24</c:v>
                </c:pt>
                <c:pt idx="1030">
                  <c:v>2017-01-26</c:v>
                </c:pt>
                <c:pt idx="1031">
                  <c:v>2017-01-29</c:v>
                </c:pt>
                <c:pt idx="1032">
                  <c:v>2017-01-31</c:v>
                </c:pt>
                <c:pt idx="1033">
                  <c:v>2017-02-01</c:v>
                </c:pt>
                <c:pt idx="1034">
                  <c:v>2017-02-02</c:v>
                </c:pt>
                <c:pt idx="1035">
                  <c:v>2017-02-05</c:v>
                </c:pt>
                <c:pt idx="1036">
                  <c:v>2017-02-06</c:v>
                </c:pt>
                <c:pt idx="1037">
                  <c:v>2017-02-07</c:v>
                </c:pt>
                <c:pt idx="1038">
                  <c:v>2017-02-08</c:v>
                </c:pt>
                <c:pt idx="1039">
                  <c:v>2017-02-09</c:v>
                </c:pt>
                <c:pt idx="1040">
                  <c:v>2017-02-12</c:v>
                </c:pt>
                <c:pt idx="1041">
                  <c:v>2017-02-13</c:v>
                </c:pt>
                <c:pt idx="1042">
                  <c:v>2017-02-14</c:v>
                </c:pt>
                <c:pt idx="1043">
                  <c:v>2017-02-15</c:v>
                </c:pt>
                <c:pt idx="1044">
                  <c:v>2017-02-16</c:v>
                </c:pt>
                <c:pt idx="1045">
                  <c:v>2017-02-19</c:v>
                </c:pt>
                <c:pt idx="1046">
                  <c:v>2017-02-20</c:v>
                </c:pt>
                <c:pt idx="1047">
                  <c:v>2017-02-21</c:v>
                </c:pt>
                <c:pt idx="1048">
                  <c:v>2017-02-22</c:v>
                </c:pt>
                <c:pt idx="1049">
                  <c:v>2017-02-23</c:v>
                </c:pt>
                <c:pt idx="1050">
                  <c:v>2017-02-26</c:v>
                </c:pt>
                <c:pt idx="1051">
                  <c:v>2017-02-27</c:v>
                </c:pt>
                <c:pt idx="1052">
                  <c:v>2017-02-28</c:v>
                </c:pt>
                <c:pt idx="1053">
                  <c:v>2017-03-01</c:v>
                </c:pt>
                <c:pt idx="1054">
                  <c:v>2017-03-02</c:v>
                </c:pt>
                <c:pt idx="1055">
                  <c:v>2017-03-05</c:v>
                </c:pt>
                <c:pt idx="1056">
                  <c:v>2017-03-06</c:v>
                </c:pt>
                <c:pt idx="1057">
                  <c:v>2017-03-07</c:v>
                </c:pt>
                <c:pt idx="1058">
                  <c:v>2017-03-08</c:v>
                </c:pt>
                <c:pt idx="1059">
                  <c:v>2017-03-09</c:v>
                </c:pt>
                <c:pt idx="1060">
                  <c:v>2017-03-12</c:v>
                </c:pt>
                <c:pt idx="1061">
                  <c:v>2017-03-13</c:v>
                </c:pt>
                <c:pt idx="1062">
                  <c:v>2017-03-14</c:v>
                </c:pt>
                <c:pt idx="1063">
                  <c:v>2017-03-15</c:v>
                </c:pt>
                <c:pt idx="1064">
                  <c:v>2017-03-16</c:v>
                </c:pt>
                <c:pt idx="1065">
                  <c:v>2017-03-19</c:v>
                </c:pt>
                <c:pt idx="1066">
                  <c:v>2017-03-20</c:v>
                </c:pt>
                <c:pt idx="1067">
                  <c:v>2017-03-21</c:v>
                </c:pt>
                <c:pt idx="1068">
                  <c:v>2017-03-22</c:v>
                </c:pt>
                <c:pt idx="1069">
                  <c:v>2017-03-23</c:v>
                </c:pt>
                <c:pt idx="1070">
                  <c:v>2017-03-26</c:v>
                </c:pt>
                <c:pt idx="1071">
                  <c:v>2017-03-27</c:v>
                </c:pt>
                <c:pt idx="1072">
                  <c:v>2017-03-28</c:v>
                </c:pt>
                <c:pt idx="1073">
                  <c:v>2017-03-29</c:v>
                </c:pt>
                <c:pt idx="1074">
                  <c:v>2017-03-30</c:v>
                </c:pt>
                <c:pt idx="1075">
                  <c:v>2017-04-02</c:v>
                </c:pt>
                <c:pt idx="1076">
                  <c:v>2017-04-03</c:v>
                </c:pt>
                <c:pt idx="1077">
                  <c:v>2017-04-04</c:v>
                </c:pt>
                <c:pt idx="1078">
                  <c:v>2017-04-05</c:v>
                </c:pt>
                <c:pt idx="1079">
                  <c:v>2017-04-06</c:v>
                </c:pt>
                <c:pt idx="1080">
                  <c:v>2017-04-09</c:v>
                </c:pt>
                <c:pt idx="1081">
                  <c:v>2017-04-10</c:v>
                </c:pt>
                <c:pt idx="1082">
                  <c:v>2017-04-11</c:v>
                </c:pt>
                <c:pt idx="1083">
                  <c:v>2017-04-12</c:v>
                </c:pt>
                <c:pt idx="1084">
                  <c:v>2017-04-13</c:v>
                </c:pt>
                <c:pt idx="1085">
                  <c:v>2017-04-18</c:v>
                </c:pt>
                <c:pt idx="1086">
                  <c:v>2017-04-19</c:v>
                </c:pt>
                <c:pt idx="1087">
                  <c:v>2017-04-20</c:v>
                </c:pt>
                <c:pt idx="1088">
                  <c:v>2017-04-23</c:v>
                </c:pt>
                <c:pt idx="1089">
                  <c:v>2017-04-24</c:v>
                </c:pt>
                <c:pt idx="1090">
                  <c:v>2017-04-26</c:v>
                </c:pt>
                <c:pt idx="1091">
                  <c:v>2017-04-27</c:v>
                </c:pt>
                <c:pt idx="1092">
                  <c:v>2017-04-30</c:v>
                </c:pt>
                <c:pt idx="1093">
                  <c:v>2017-05-02</c:v>
                </c:pt>
                <c:pt idx="1094">
                  <c:v>2017-05-03</c:v>
                </c:pt>
                <c:pt idx="1095">
                  <c:v>2017-05-04</c:v>
                </c:pt>
                <c:pt idx="1096">
                  <c:v>2017-05-07</c:v>
                </c:pt>
                <c:pt idx="1097">
                  <c:v>2017-05-08</c:v>
                </c:pt>
                <c:pt idx="1098">
                  <c:v>2017-05-09</c:v>
                </c:pt>
                <c:pt idx="1099">
                  <c:v>2017-05-10</c:v>
                </c:pt>
                <c:pt idx="1100">
                  <c:v>2017-05-11</c:v>
                </c:pt>
                <c:pt idx="1101">
                  <c:v>2017-05-14</c:v>
                </c:pt>
                <c:pt idx="1102">
                  <c:v>2017-05-15</c:v>
                </c:pt>
                <c:pt idx="1103">
                  <c:v>2017-05-16</c:v>
                </c:pt>
                <c:pt idx="1104">
                  <c:v>2017-05-17</c:v>
                </c:pt>
                <c:pt idx="1105">
                  <c:v>2017-05-18</c:v>
                </c:pt>
                <c:pt idx="1106">
                  <c:v>2017-05-21</c:v>
                </c:pt>
                <c:pt idx="1107">
                  <c:v>2017-05-22</c:v>
                </c:pt>
                <c:pt idx="1108">
                  <c:v>2017-05-23</c:v>
                </c:pt>
                <c:pt idx="1109">
                  <c:v>2017-05-24</c:v>
                </c:pt>
                <c:pt idx="1110">
                  <c:v>2017-05-25</c:v>
                </c:pt>
                <c:pt idx="1111">
                  <c:v>2017-05-28</c:v>
                </c:pt>
                <c:pt idx="1112">
                  <c:v>2017-05-29</c:v>
                </c:pt>
                <c:pt idx="1113">
                  <c:v>2017-05-30</c:v>
                </c:pt>
                <c:pt idx="1114">
                  <c:v>2017-05-31</c:v>
                </c:pt>
                <c:pt idx="1115">
                  <c:v>2017-06-01</c:v>
                </c:pt>
                <c:pt idx="1116">
                  <c:v>2017-06-04</c:v>
                </c:pt>
                <c:pt idx="1117">
                  <c:v>2017-06-05</c:v>
                </c:pt>
                <c:pt idx="1118">
                  <c:v>2017-06-06</c:v>
                </c:pt>
                <c:pt idx="1119">
                  <c:v>2017-06-07</c:v>
                </c:pt>
                <c:pt idx="1120">
                  <c:v>2017-06-08</c:v>
                </c:pt>
                <c:pt idx="1121">
                  <c:v>2017-06-11</c:v>
                </c:pt>
                <c:pt idx="1122">
                  <c:v>2017-06-12</c:v>
                </c:pt>
                <c:pt idx="1123">
                  <c:v>2017-06-13</c:v>
                </c:pt>
                <c:pt idx="1124">
                  <c:v>2017-06-14</c:v>
                </c:pt>
                <c:pt idx="1125">
                  <c:v>2017-06-15</c:v>
                </c:pt>
                <c:pt idx="1126">
                  <c:v>2017-06-18</c:v>
                </c:pt>
                <c:pt idx="1127">
                  <c:v>2017-06-19</c:v>
                </c:pt>
                <c:pt idx="1128">
                  <c:v>2017-06-20</c:v>
                </c:pt>
                <c:pt idx="1129">
                  <c:v>2017-06-21</c:v>
                </c:pt>
                <c:pt idx="1130">
                  <c:v>2017-06-22</c:v>
                </c:pt>
                <c:pt idx="1131">
                  <c:v>2017-06-28</c:v>
                </c:pt>
                <c:pt idx="1132">
                  <c:v>2017-07-02</c:v>
                </c:pt>
                <c:pt idx="1133">
                  <c:v>2017-07-03</c:v>
                </c:pt>
                <c:pt idx="1134">
                  <c:v>2017-07-04</c:v>
                </c:pt>
                <c:pt idx="1135">
                  <c:v>2017-07-05</c:v>
                </c:pt>
                <c:pt idx="1136">
                  <c:v>2017-07-06</c:v>
                </c:pt>
                <c:pt idx="1137">
                  <c:v>2017-07-09</c:v>
                </c:pt>
                <c:pt idx="1138">
                  <c:v>2017-07-10</c:v>
                </c:pt>
                <c:pt idx="1139">
                  <c:v>2017-07-11</c:v>
                </c:pt>
                <c:pt idx="1140">
                  <c:v>2017-07-12</c:v>
                </c:pt>
                <c:pt idx="1141">
                  <c:v>2017-07-13</c:v>
                </c:pt>
                <c:pt idx="1142">
                  <c:v>2017-07-16</c:v>
                </c:pt>
                <c:pt idx="1143">
                  <c:v>2017-07-17</c:v>
                </c:pt>
                <c:pt idx="1144">
                  <c:v>2017-07-18</c:v>
                </c:pt>
                <c:pt idx="1145">
                  <c:v>2017-07-19</c:v>
                </c:pt>
                <c:pt idx="1146">
                  <c:v>2017-07-20</c:v>
                </c:pt>
                <c:pt idx="1147">
                  <c:v>2017-07-24</c:v>
                </c:pt>
                <c:pt idx="1148">
                  <c:v>2017-07-25</c:v>
                </c:pt>
                <c:pt idx="1149">
                  <c:v>2017-07-26</c:v>
                </c:pt>
                <c:pt idx="1150">
                  <c:v>2017-07-27</c:v>
                </c:pt>
                <c:pt idx="1151">
                  <c:v>2017-07-30</c:v>
                </c:pt>
                <c:pt idx="1152">
                  <c:v>2017-07-31</c:v>
                </c:pt>
                <c:pt idx="1153">
                  <c:v>2017-08-01</c:v>
                </c:pt>
                <c:pt idx="1154">
                  <c:v>2017-08-02</c:v>
                </c:pt>
                <c:pt idx="1155">
                  <c:v>2017-08-03</c:v>
                </c:pt>
                <c:pt idx="1156">
                  <c:v>2017-08-06</c:v>
                </c:pt>
                <c:pt idx="1157">
                  <c:v>2017-08-07</c:v>
                </c:pt>
                <c:pt idx="1158">
                  <c:v>2017-08-08</c:v>
                </c:pt>
                <c:pt idx="1159">
                  <c:v>2017-08-09</c:v>
                </c:pt>
                <c:pt idx="1160">
                  <c:v>2017-08-10</c:v>
                </c:pt>
                <c:pt idx="1161">
                  <c:v>2017-08-13</c:v>
                </c:pt>
                <c:pt idx="1162">
                  <c:v>2017-08-14</c:v>
                </c:pt>
                <c:pt idx="1163">
                  <c:v>2017-08-15</c:v>
                </c:pt>
                <c:pt idx="1164">
                  <c:v>2017-08-16</c:v>
                </c:pt>
                <c:pt idx="1165">
                  <c:v>2017-08-17</c:v>
                </c:pt>
                <c:pt idx="1166">
                  <c:v>2017-08-20</c:v>
                </c:pt>
                <c:pt idx="1167">
                  <c:v>2017-08-21</c:v>
                </c:pt>
                <c:pt idx="1168">
                  <c:v>2017-08-22</c:v>
                </c:pt>
                <c:pt idx="1169">
                  <c:v>2017-08-23</c:v>
                </c:pt>
                <c:pt idx="1170">
                  <c:v>2017-08-24</c:v>
                </c:pt>
                <c:pt idx="1171">
                  <c:v>2017-08-27</c:v>
                </c:pt>
                <c:pt idx="1172">
                  <c:v>2017-08-28</c:v>
                </c:pt>
                <c:pt idx="1173">
                  <c:v>2017-08-29</c:v>
                </c:pt>
                <c:pt idx="1174">
                  <c:v>2017-08-30</c:v>
                </c:pt>
                <c:pt idx="1175">
                  <c:v>2017-09-05</c:v>
                </c:pt>
                <c:pt idx="1176">
                  <c:v>2017-09-06</c:v>
                </c:pt>
                <c:pt idx="1177">
                  <c:v>2017-09-07</c:v>
                </c:pt>
                <c:pt idx="1178">
                  <c:v>2017-09-10</c:v>
                </c:pt>
                <c:pt idx="1179">
                  <c:v>2017-09-11</c:v>
                </c:pt>
                <c:pt idx="1180">
                  <c:v>2017-09-12</c:v>
                </c:pt>
                <c:pt idx="1181">
                  <c:v>2017-09-13</c:v>
                </c:pt>
                <c:pt idx="1182">
                  <c:v>2017-09-14</c:v>
                </c:pt>
                <c:pt idx="1183">
                  <c:v>2017-09-17</c:v>
                </c:pt>
                <c:pt idx="1184">
                  <c:v>2017-09-18</c:v>
                </c:pt>
                <c:pt idx="1185">
                  <c:v>2017-09-19</c:v>
                </c:pt>
                <c:pt idx="1186">
                  <c:v>2017-09-20</c:v>
                </c:pt>
                <c:pt idx="1187">
                  <c:v>2017-09-24</c:v>
                </c:pt>
                <c:pt idx="1188">
                  <c:v>2017-09-25</c:v>
                </c:pt>
                <c:pt idx="1189">
                  <c:v>2017-09-26</c:v>
                </c:pt>
                <c:pt idx="1190">
                  <c:v>2017-09-27</c:v>
                </c:pt>
                <c:pt idx="1191">
                  <c:v>2017-09-28</c:v>
                </c:pt>
                <c:pt idx="1192">
                  <c:v>2017-10-01</c:v>
                </c:pt>
                <c:pt idx="1193">
                  <c:v>2017-10-02</c:v>
                </c:pt>
                <c:pt idx="1194">
                  <c:v>2017-10-03</c:v>
                </c:pt>
                <c:pt idx="1195">
                  <c:v>2017-10-04</c:v>
                </c:pt>
                <c:pt idx="1196">
                  <c:v>2017-10-08</c:v>
                </c:pt>
                <c:pt idx="1197">
                  <c:v>2017-10-09</c:v>
                </c:pt>
                <c:pt idx="1198">
                  <c:v>2017-10-10</c:v>
                </c:pt>
                <c:pt idx="1199">
                  <c:v>2017-10-11</c:v>
                </c:pt>
                <c:pt idx="1200">
                  <c:v>2017-10-12</c:v>
                </c:pt>
                <c:pt idx="1201">
                  <c:v>2017-10-15</c:v>
                </c:pt>
                <c:pt idx="1202">
                  <c:v>2017-10-16</c:v>
                </c:pt>
                <c:pt idx="1203">
                  <c:v>2017-10-17</c:v>
                </c:pt>
                <c:pt idx="1204">
                  <c:v>2017-10-18</c:v>
                </c:pt>
                <c:pt idx="1205">
                  <c:v>2017-10-19</c:v>
                </c:pt>
                <c:pt idx="1206">
                  <c:v>2017-10-22</c:v>
                </c:pt>
                <c:pt idx="1207">
                  <c:v>2017-10-23</c:v>
                </c:pt>
                <c:pt idx="1208">
                  <c:v>2017-10-24</c:v>
                </c:pt>
                <c:pt idx="1209">
                  <c:v>2017-10-25</c:v>
                </c:pt>
                <c:pt idx="1210">
                  <c:v>2017-10-26</c:v>
                </c:pt>
                <c:pt idx="1211">
                  <c:v>2017-10-29</c:v>
                </c:pt>
                <c:pt idx="1212">
                  <c:v>2017-10-30</c:v>
                </c:pt>
                <c:pt idx="1213">
                  <c:v>2017-10-31</c:v>
                </c:pt>
                <c:pt idx="1214">
                  <c:v>2017-11-01</c:v>
                </c:pt>
                <c:pt idx="1215">
                  <c:v>2017-11-02</c:v>
                </c:pt>
                <c:pt idx="1216">
                  <c:v>2017-11-05</c:v>
                </c:pt>
                <c:pt idx="1217">
                  <c:v>2017-11-06</c:v>
                </c:pt>
                <c:pt idx="1218">
                  <c:v>2017-11-07</c:v>
                </c:pt>
                <c:pt idx="1219">
                  <c:v>2017-11-08</c:v>
                </c:pt>
                <c:pt idx="1220">
                  <c:v>2017-11-09</c:v>
                </c:pt>
                <c:pt idx="1221">
                  <c:v>2017-11-12</c:v>
                </c:pt>
                <c:pt idx="1222">
                  <c:v>2017-11-13</c:v>
                </c:pt>
                <c:pt idx="1223">
                  <c:v>2017-11-14</c:v>
                </c:pt>
                <c:pt idx="1224">
                  <c:v>2017-11-15</c:v>
                </c:pt>
                <c:pt idx="1225">
                  <c:v>2017-11-16</c:v>
                </c:pt>
                <c:pt idx="1226">
                  <c:v>2017-11-19</c:v>
                </c:pt>
                <c:pt idx="1227">
                  <c:v>2017-11-20</c:v>
                </c:pt>
                <c:pt idx="1228">
                  <c:v>2017-11-21</c:v>
                </c:pt>
                <c:pt idx="1229">
                  <c:v>2017-11-22</c:v>
                </c:pt>
                <c:pt idx="1230">
                  <c:v>2017-11-23</c:v>
                </c:pt>
                <c:pt idx="1231">
                  <c:v>2017-11-26</c:v>
                </c:pt>
                <c:pt idx="1232">
                  <c:v>2017-11-27</c:v>
                </c:pt>
                <c:pt idx="1233">
                  <c:v>2017-11-28</c:v>
                </c:pt>
                <c:pt idx="1234">
                  <c:v>2017-11-29</c:v>
                </c:pt>
                <c:pt idx="1235">
                  <c:v>2017-12-03</c:v>
                </c:pt>
                <c:pt idx="1236">
                  <c:v>2017-12-04</c:v>
                </c:pt>
                <c:pt idx="1237">
                  <c:v>2017-12-05</c:v>
                </c:pt>
                <c:pt idx="1238">
                  <c:v>2017-12-06</c:v>
                </c:pt>
                <c:pt idx="1239">
                  <c:v>2017-12-07</c:v>
                </c:pt>
                <c:pt idx="1240">
                  <c:v>2017-12-10</c:v>
                </c:pt>
                <c:pt idx="1241">
                  <c:v>2017-12-11</c:v>
                </c:pt>
                <c:pt idx="1242">
                  <c:v>2017-12-12</c:v>
                </c:pt>
                <c:pt idx="1243">
                  <c:v>2017-12-13</c:v>
                </c:pt>
                <c:pt idx="1244">
                  <c:v>2017-12-14</c:v>
                </c:pt>
                <c:pt idx="1245">
                  <c:v>2017-12-17</c:v>
                </c:pt>
                <c:pt idx="1246">
                  <c:v>2017-12-18</c:v>
                </c:pt>
                <c:pt idx="1247">
                  <c:v>2017-12-19</c:v>
                </c:pt>
                <c:pt idx="1248">
                  <c:v>2017-12-20</c:v>
                </c:pt>
                <c:pt idx="1249">
                  <c:v>2017-12-21</c:v>
                </c:pt>
                <c:pt idx="1250">
                  <c:v>2017-12-25</c:v>
                </c:pt>
                <c:pt idx="1251">
                  <c:v>2017-12-27</c:v>
                </c:pt>
                <c:pt idx="1252">
                  <c:v>2017-12-28</c:v>
                </c:pt>
                <c:pt idx="1253">
                  <c:v>2017-12-31</c:v>
                </c:pt>
              </c:strCache>
            </c:strRef>
          </c:cat>
          <c:val>
            <c:numRef>
              <c:f>Stock!$C$1052:$C$2305</c:f>
              <c:numCache>
                <c:formatCode>#,##0.00</c:formatCode>
                <c:ptCount val="1254"/>
                <c:pt idx="0">
                  <c:v>2543</c:v>
                </c:pt>
                <c:pt idx="1">
                  <c:v>4039</c:v>
                </c:pt>
                <c:pt idx="2">
                  <c:v>7550</c:v>
                </c:pt>
                <c:pt idx="3">
                  <c:v>6741</c:v>
                </c:pt>
                <c:pt idx="4">
                  <c:v>16768</c:v>
                </c:pt>
                <c:pt idx="5">
                  <c:v>9291</c:v>
                </c:pt>
                <c:pt idx="6">
                  <c:v>6901</c:v>
                </c:pt>
                <c:pt idx="7">
                  <c:v>7682</c:v>
                </c:pt>
                <c:pt idx="8">
                  <c:v>8787</c:v>
                </c:pt>
                <c:pt idx="9">
                  <c:v>3630</c:v>
                </c:pt>
                <c:pt idx="10">
                  <c:v>7439</c:v>
                </c:pt>
                <c:pt idx="11">
                  <c:v>8620</c:v>
                </c:pt>
                <c:pt idx="12">
                  <c:v>7918</c:v>
                </c:pt>
                <c:pt idx="13">
                  <c:v>8227</c:v>
                </c:pt>
                <c:pt idx="14">
                  <c:v>11241</c:v>
                </c:pt>
                <c:pt idx="15">
                  <c:v>21059</c:v>
                </c:pt>
                <c:pt idx="16">
                  <c:v>9409</c:v>
                </c:pt>
                <c:pt idx="17">
                  <c:v>14627</c:v>
                </c:pt>
                <c:pt idx="18">
                  <c:v>11072</c:v>
                </c:pt>
                <c:pt idx="19">
                  <c:v>10011</c:v>
                </c:pt>
                <c:pt idx="20">
                  <c:v>9308</c:v>
                </c:pt>
                <c:pt idx="21">
                  <c:v>9055</c:v>
                </c:pt>
                <c:pt idx="22">
                  <c:v>5771</c:v>
                </c:pt>
                <c:pt idx="23">
                  <c:v>7662</c:v>
                </c:pt>
                <c:pt idx="24">
                  <c:v>16369</c:v>
                </c:pt>
                <c:pt idx="25">
                  <c:v>30282</c:v>
                </c:pt>
                <c:pt idx="26">
                  <c:v>40642</c:v>
                </c:pt>
                <c:pt idx="27">
                  <c:v>31315</c:v>
                </c:pt>
                <c:pt idx="28">
                  <c:v>8386</c:v>
                </c:pt>
                <c:pt idx="29">
                  <c:v>24299</c:v>
                </c:pt>
                <c:pt idx="30">
                  <c:v>32674</c:v>
                </c:pt>
                <c:pt idx="31">
                  <c:v>17476</c:v>
                </c:pt>
                <c:pt idx="32">
                  <c:v>15910</c:v>
                </c:pt>
                <c:pt idx="33">
                  <c:v>31541</c:v>
                </c:pt>
                <c:pt idx="34">
                  <c:v>5022</c:v>
                </c:pt>
                <c:pt idx="35">
                  <c:v>11122</c:v>
                </c:pt>
                <c:pt idx="36">
                  <c:v>26556</c:v>
                </c:pt>
                <c:pt idx="37">
                  <c:v>63392</c:v>
                </c:pt>
                <c:pt idx="38">
                  <c:v>22435</c:v>
                </c:pt>
                <c:pt idx="39">
                  <c:v>30635</c:v>
                </c:pt>
                <c:pt idx="40">
                  <c:v>21938</c:v>
                </c:pt>
                <c:pt idx="41">
                  <c:v>22082</c:v>
                </c:pt>
                <c:pt idx="42">
                  <c:v>16820</c:v>
                </c:pt>
                <c:pt idx="43">
                  <c:v>7100</c:v>
                </c:pt>
                <c:pt idx="44">
                  <c:v>14171</c:v>
                </c:pt>
                <c:pt idx="45">
                  <c:v>11301</c:v>
                </c:pt>
                <c:pt idx="46">
                  <c:v>5067</c:v>
                </c:pt>
                <c:pt idx="47">
                  <c:v>9650</c:v>
                </c:pt>
                <c:pt idx="48">
                  <c:v>2242</c:v>
                </c:pt>
                <c:pt idx="49">
                  <c:v>4569</c:v>
                </c:pt>
                <c:pt idx="50">
                  <c:v>6089</c:v>
                </c:pt>
                <c:pt idx="51">
                  <c:v>3485</c:v>
                </c:pt>
                <c:pt idx="52">
                  <c:v>3543</c:v>
                </c:pt>
                <c:pt idx="53">
                  <c:v>12479</c:v>
                </c:pt>
                <c:pt idx="54">
                  <c:v>4596</c:v>
                </c:pt>
                <c:pt idx="55">
                  <c:v>7745</c:v>
                </c:pt>
                <c:pt idx="56">
                  <c:v>3518</c:v>
                </c:pt>
                <c:pt idx="57">
                  <c:v>11628</c:v>
                </c:pt>
                <c:pt idx="58">
                  <c:v>7144</c:v>
                </c:pt>
                <c:pt idx="59">
                  <c:v>3558</c:v>
                </c:pt>
                <c:pt idx="60">
                  <c:v>2802</c:v>
                </c:pt>
                <c:pt idx="61">
                  <c:v>2904</c:v>
                </c:pt>
                <c:pt idx="62">
                  <c:v>2610</c:v>
                </c:pt>
                <c:pt idx="63">
                  <c:v>8293</c:v>
                </c:pt>
                <c:pt idx="64">
                  <c:v>1451</c:v>
                </c:pt>
                <c:pt idx="65">
                  <c:v>5497</c:v>
                </c:pt>
                <c:pt idx="66">
                  <c:v>6643</c:v>
                </c:pt>
                <c:pt idx="67">
                  <c:v>1053</c:v>
                </c:pt>
                <c:pt idx="68">
                  <c:v>1676</c:v>
                </c:pt>
                <c:pt idx="69">
                  <c:v>6542</c:v>
                </c:pt>
                <c:pt idx="70">
                  <c:v>6777</c:v>
                </c:pt>
                <c:pt idx="71">
                  <c:v>5444</c:v>
                </c:pt>
                <c:pt idx="72">
                  <c:v>4974</c:v>
                </c:pt>
                <c:pt idx="73">
                  <c:v>4587</c:v>
                </c:pt>
                <c:pt idx="74">
                  <c:v>4832</c:v>
                </c:pt>
                <c:pt idx="75">
                  <c:v>11357</c:v>
                </c:pt>
                <c:pt idx="76">
                  <c:v>4986</c:v>
                </c:pt>
                <c:pt idx="77">
                  <c:v>7612</c:v>
                </c:pt>
                <c:pt idx="78">
                  <c:v>1870</c:v>
                </c:pt>
                <c:pt idx="79">
                  <c:v>6048</c:v>
                </c:pt>
                <c:pt idx="80">
                  <c:v>2680</c:v>
                </c:pt>
                <c:pt idx="81">
                  <c:v>3340</c:v>
                </c:pt>
                <c:pt idx="82">
                  <c:v>445</c:v>
                </c:pt>
                <c:pt idx="83">
                  <c:v>10179</c:v>
                </c:pt>
                <c:pt idx="84">
                  <c:v>8807</c:v>
                </c:pt>
                <c:pt idx="85">
                  <c:v>8135</c:v>
                </c:pt>
                <c:pt idx="86">
                  <c:v>10636</c:v>
                </c:pt>
                <c:pt idx="87">
                  <c:v>8721</c:v>
                </c:pt>
                <c:pt idx="88">
                  <c:v>4729</c:v>
                </c:pt>
                <c:pt idx="89">
                  <c:v>20169</c:v>
                </c:pt>
                <c:pt idx="90">
                  <c:v>14658</c:v>
                </c:pt>
                <c:pt idx="91">
                  <c:v>9350</c:v>
                </c:pt>
                <c:pt idx="92">
                  <c:v>7485</c:v>
                </c:pt>
                <c:pt idx="93">
                  <c:v>4077</c:v>
                </c:pt>
                <c:pt idx="94">
                  <c:v>7316</c:v>
                </c:pt>
                <c:pt idx="95">
                  <c:v>2090</c:v>
                </c:pt>
                <c:pt idx="96">
                  <c:v>614</c:v>
                </c:pt>
                <c:pt idx="97">
                  <c:v>3400</c:v>
                </c:pt>
                <c:pt idx="98">
                  <c:v>9738</c:v>
                </c:pt>
                <c:pt idx="99">
                  <c:v>13423</c:v>
                </c:pt>
                <c:pt idx="100">
                  <c:v>1000</c:v>
                </c:pt>
                <c:pt idx="101">
                  <c:v>4307</c:v>
                </c:pt>
                <c:pt idx="102">
                  <c:v>7692</c:v>
                </c:pt>
                <c:pt idx="103">
                  <c:v>7870</c:v>
                </c:pt>
                <c:pt idx="104">
                  <c:v>11335</c:v>
                </c:pt>
                <c:pt idx="105">
                  <c:v>9525</c:v>
                </c:pt>
                <c:pt idx="106">
                  <c:v>4855</c:v>
                </c:pt>
                <c:pt idx="107">
                  <c:v>10701</c:v>
                </c:pt>
                <c:pt idx="108">
                  <c:v>4654</c:v>
                </c:pt>
                <c:pt idx="109">
                  <c:v>1500</c:v>
                </c:pt>
                <c:pt idx="110">
                  <c:v>556</c:v>
                </c:pt>
                <c:pt idx="111">
                  <c:v>1023</c:v>
                </c:pt>
                <c:pt idx="112">
                  <c:v>2356</c:v>
                </c:pt>
                <c:pt idx="113">
                  <c:v>665</c:v>
                </c:pt>
                <c:pt idx="114">
                  <c:v>447</c:v>
                </c:pt>
                <c:pt idx="115">
                  <c:v>836</c:v>
                </c:pt>
                <c:pt idx="116">
                  <c:v>2404</c:v>
                </c:pt>
                <c:pt idx="117">
                  <c:v>135</c:v>
                </c:pt>
                <c:pt idx="118">
                  <c:v>6068</c:v>
                </c:pt>
                <c:pt idx="119">
                  <c:v>3256</c:v>
                </c:pt>
                <c:pt idx="120">
                  <c:v>925</c:v>
                </c:pt>
                <c:pt idx="121">
                  <c:v>3500</c:v>
                </c:pt>
                <c:pt idx="122">
                  <c:v>3710</c:v>
                </c:pt>
                <c:pt idx="123">
                  <c:v>350</c:v>
                </c:pt>
                <c:pt idx="124">
                  <c:v>500</c:v>
                </c:pt>
                <c:pt idx="125">
                  <c:v>2150</c:v>
                </c:pt>
                <c:pt idx="126">
                  <c:v>1458</c:v>
                </c:pt>
                <c:pt idx="127">
                  <c:v>2190</c:v>
                </c:pt>
                <c:pt idx="128">
                  <c:v>520</c:v>
                </c:pt>
                <c:pt idx="129">
                  <c:v>2400</c:v>
                </c:pt>
                <c:pt idx="130">
                  <c:v>245</c:v>
                </c:pt>
                <c:pt idx="131">
                  <c:v>6988</c:v>
                </c:pt>
                <c:pt idx="132">
                  <c:v>2100</c:v>
                </c:pt>
                <c:pt idx="133">
                  <c:v>1230</c:v>
                </c:pt>
                <c:pt idx="134">
                  <c:v>7032</c:v>
                </c:pt>
                <c:pt idx="135">
                  <c:v>6390</c:v>
                </c:pt>
                <c:pt idx="136">
                  <c:v>30475</c:v>
                </c:pt>
                <c:pt idx="137">
                  <c:v>13875</c:v>
                </c:pt>
                <c:pt idx="138">
                  <c:v>8950</c:v>
                </c:pt>
                <c:pt idx="139">
                  <c:v>10436</c:v>
                </c:pt>
                <c:pt idx="140">
                  <c:v>13188</c:v>
                </c:pt>
                <c:pt idx="141">
                  <c:v>10767</c:v>
                </c:pt>
                <c:pt idx="142">
                  <c:v>7300</c:v>
                </c:pt>
                <c:pt idx="143">
                  <c:v>9629</c:v>
                </c:pt>
                <c:pt idx="144">
                  <c:v>8500</c:v>
                </c:pt>
                <c:pt idx="145">
                  <c:v>5354</c:v>
                </c:pt>
                <c:pt idx="146">
                  <c:v>8535</c:v>
                </c:pt>
                <c:pt idx="147">
                  <c:v>32933</c:v>
                </c:pt>
                <c:pt idx="148">
                  <c:v>26786</c:v>
                </c:pt>
                <c:pt idx="149">
                  <c:v>22753</c:v>
                </c:pt>
                <c:pt idx="150">
                  <c:v>11926</c:v>
                </c:pt>
                <c:pt idx="151">
                  <c:v>18523</c:v>
                </c:pt>
                <c:pt idx="152">
                  <c:v>22256</c:v>
                </c:pt>
                <c:pt idx="153">
                  <c:v>10222</c:v>
                </c:pt>
                <c:pt idx="154">
                  <c:v>7666</c:v>
                </c:pt>
                <c:pt idx="155">
                  <c:v>5612</c:v>
                </c:pt>
                <c:pt idx="156">
                  <c:v>3721</c:v>
                </c:pt>
                <c:pt idx="157">
                  <c:v>14309</c:v>
                </c:pt>
                <c:pt idx="158">
                  <c:v>10250</c:v>
                </c:pt>
                <c:pt idx="159">
                  <c:v>5258</c:v>
                </c:pt>
                <c:pt idx="160">
                  <c:v>4434</c:v>
                </c:pt>
                <c:pt idx="161">
                  <c:v>13405</c:v>
                </c:pt>
                <c:pt idx="162">
                  <c:v>5595</c:v>
                </c:pt>
                <c:pt idx="163">
                  <c:v>1785</c:v>
                </c:pt>
                <c:pt idx="164">
                  <c:v>2710</c:v>
                </c:pt>
                <c:pt idx="165">
                  <c:v>3064</c:v>
                </c:pt>
                <c:pt idx="166">
                  <c:v>4495</c:v>
                </c:pt>
                <c:pt idx="167">
                  <c:v>1511</c:v>
                </c:pt>
                <c:pt idx="168">
                  <c:v>258</c:v>
                </c:pt>
                <c:pt idx="169">
                  <c:v>3239</c:v>
                </c:pt>
                <c:pt idx="170">
                  <c:v>2150</c:v>
                </c:pt>
                <c:pt idx="171">
                  <c:v>825</c:v>
                </c:pt>
                <c:pt idx="172">
                  <c:v>1370</c:v>
                </c:pt>
                <c:pt idx="173">
                  <c:v>1235</c:v>
                </c:pt>
                <c:pt idx="174">
                  <c:v>1960</c:v>
                </c:pt>
                <c:pt idx="175">
                  <c:v>150</c:v>
                </c:pt>
                <c:pt idx="176">
                  <c:v>690</c:v>
                </c:pt>
                <c:pt idx="177">
                  <c:v>1992</c:v>
                </c:pt>
                <c:pt idx="178">
                  <c:v>1443</c:v>
                </c:pt>
                <c:pt idx="179">
                  <c:v>3390</c:v>
                </c:pt>
                <c:pt idx="180">
                  <c:v>5742</c:v>
                </c:pt>
                <c:pt idx="181">
                  <c:v>2835</c:v>
                </c:pt>
                <c:pt idx="182">
                  <c:v>2205</c:v>
                </c:pt>
                <c:pt idx="183">
                  <c:v>1200</c:v>
                </c:pt>
                <c:pt idx="184">
                  <c:v>6240</c:v>
                </c:pt>
                <c:pt idx="185">
                  <c:v>8672</c:v>
                </c:pt>
                <c:pt idx="186">
                  <c:v>2356</c:v>
                </c:pt>
                <c:pt idx="187">
                  <c:v>370</c:v>
                </c:pt>
                <c:pt idx="188">
                  <c:v>6400</c:v>
                </c:pt>
                <c:pt idx="189">
                  <c:v>12691</c:v>
                </c:pt>
                <c:pt idx="190">
                  <c:v>595</c:v>
                </c:pt>
                <c:pt idx="191">
                  <c:v>1746</c:v>
                </c:pt>
                <c:pt idx="192">
                  <c:v>1021</c:v>
                </c:pt>
                <c:pt idx="193">
                  <c:v>355</c:v>
                </c:pt>
                <c:pt idx="194">
                  <c:v>543</c:v>
                </c:pt>
                <c:pt idx="195">
                  <c:v>540</c:v>
                </c:pt>
                <c:pt idx="196">
                  <c:v>6057</c:v>
                </c:pt>
                <c:pt idx="197">
                  <c:v>4793</c:v>
                </c:pt>
                <c:pt idx="198">
                  <c:v>7585</c:v>
                </c:pt>
                <c:pt idx="199">
                  <c:v>3485</c:v>
                </c:pt>
                <c:pt idx="200">
                  <c:v>6913</c:v>
                </c:pt>
                <c:pt idx="201">
                  <c:v>1730</c:v>
                </c:pt>
                <c:pt idx="202">
                  <c:v>2718</c:v>
                </c:pt>
                <c:pt idx="203">
                  <c:v>4500</c:v>
                </c:pt>
                <c:pt idx="204">
                  <c:v>1900</c:v>
                </c:pt>
                <c:pt idx="205">
                  <c:v>2495</c:v>
                </c:pt>
                <c:pt idx="206">
                  <c:v>644</c:v>
                </c:pt>
                <c:pt idx="207">
                  <c:v>370</c:v>
                </c:pt>
                <c:pt idx="208">
                  <c:v>2720</c:v>
                </c:pt>
                <c:pt idx="209">
                  <c:v>905</c:v>
                </c:pt>
                <c:pt idx="210">
                  <c:v>2394</c:v>
                </c:pt>
                <c:pt idx="211">
                  <c:v>6349</c:v>
                </c:pt>
                <c:pt idx="212">
                  <c:v>9485</c:v>
                </c:pt>
                <c:pt idx="213">
                  <c:v>3112</c:v>
                </c:pt>
                <c:pt idx="214">
                  <c:v>2077</c:v>
                </c:pt>
                <c:pt idx="215">
                  <c:v>5600</c:v>
                </c:pt>
                <c:pt idx="216">
                  <c:v>1103</c:v>
                </c:pt>
                <c:pt idx="217">
                  <c:v>177</c:v>
                </c:pt>
                <c:pt idx="218">
                  <c:v>232</c:v>
                </c:pt>
                <c:pt idx="219">
                  <c:v>1692</c:v>
                </c:pt>
                <c:pt idx="220">
                  <c:v>1200</c:v>
                </c:pt>
                <c:pt idx="221">
                  <c:v>2626</c:v>
                </c:pt>
                <c:pt idx="222">
                  <c:v>425</c:v>
                </c:pt>
                <c:pt idx="223">
                  <c:v>2784</c:v>
                </c:pt>
                <c:pt idx="224">
                  <c:v>8663</c:v>
                </c:pt>
                <c:pt idx="225">
                  <c:v>1050</c:v>
                </c:pt>
                <c:pt idx="226">
                  <c:v>3846</c:v>
                </c:pt>
                <c:pt idx="227">
                  <c:v>7866</c:v>
                </c:pt>
                <c:pt idx="228">
                  <c:v>1800</c:v>
                </c:pt>
                <c:pt idx="229">
                  <c:v>1000</c:v>
                </c:pt>
                <c:pt idx="230">
                  <c:v>2151</c:v>
                </c:pt>
                <c:pt idx="231">
                  <c:v>4090</c:v>
                </c:pt>
                <c:pt idx="232">
                  <c:v>152</c:v>
                </c:pt>
                <c:pt idx="233">
                  <c:v>514</c:v>
                </c:pt>
                <c:pt idx="234">
                  <c:v>2395</c:v>
                </c:pt>
                <c:pt idx="235">
                  <c:v>2491</c:v>
                </c:pt>
                <c:pt idx="236">
                  <c:v>180</c:v>
                </c:pt>
                <c:pt idx="237">
                  <c:v>800</c:v>
                </c:pt>
                <c:pt idx="238">
                  <c:v>1159</c:v>
                </c:pt>
                <c:pt idx="239">
                  <c:v>420</c:v>
                </c:pt>
                <c:pt idx="240">
                  <c:v>3207</c:v>
                </c:pt>
                <c:pt idx="241">
                  <c:v>1590</c:v>
                </c:pt>
                <c:pt idx="242">
                  <c:v>3205</c:v>
                </c:pt>
                <c:pt idx="243">
                  <c:v>1892</c:v>
                </c:pt>
                <c:pt idx="244">
                  <c:v>15</c:v>
                </c:pt>
                <c:pt idx="245">
                  <c:v>187</c:v>
                </c:pt>
                <c:pt idx="246">
                  <c:v>930</c:v>
                </c:pt>
                <c:pt idx="247">
                  <c:v>12524</c:v>
                </c:pt>
                <c:pt idx="248">
                  <c:v>3139</c:v>
                </c:pt>
                <c:pt idx="249">
                  <c:v>3791</c:v>
                </c:pt>
                <c:pt idx="250">
                  <c:v>5263</c:v>
                </c:pt>
                <c:pt idx="251">
                  <c:v>3471</c:v>
                </c:pt>
                <c:pt idx="252">
                  <c:v>1830</c:v>
                </c:pt>
                <c:pt idx="253">
                  <c:v>1088</c:v>
                </c:pt>
                <c:pt idx="254">
                  <c:v>460</c:v>
                </c:pt>
                <c:pt idx="255">
                  <c:v>577</c:v>
                </c:pt>
                <c:pt idx="256">
                  <c:v>2400</c:v>
                </c:pt>
                <c:pt idx="257">
                  <c:v>350</c:v>
                </c:pt>
                <c:pt idx="258">
                  <c:v>2902</c:v>
                </c:pt>
                <c:pt idx="259">
                  <c:v>1500</c:v>
                </c:pt>
                <c:pt idx="260">
                  <c:v>100</c:v>
                </c:pt>
                <c:pt idx="261">
                  <c:v>3725</c:v>
                </c:pt>
                <c:pt idx="262">
                  <c:v>350</c:v>
                </c:pt>
                <c:pt idx="263">
                  <c:v>1400</c:v>
                </c:pt>
                <c:pt idx="264">
                  <c:v>915</c:v>
                </c:pt>
                <c:pt idx="265">
                  <c:v>300</c:v>
                </c:pt>
                <c:pt idx="266">
                  <c:v>2031</c:v>
                </c:pt>
                <c:pt idx="267">
                  <c:v>631</c:v>
                </c:pt>
                <c:pt idx="268">
                  <c:v>1534</c:v>
                </c:pt>
                <c:pt idx="269">
                  <c:v>3050</c:v>
                </c:pt>
                <c:pt idx="270">
                  <c:v>1192</c:v>
                </c:pt>
                <c:pt idx="271">
                  <c:v>4250</c:v>
                </c:pt>
                <c:pt idx="272">
                  <c:v>4656</c:v>
                </c:pt>
                <c:pt idx="273">
                  <c:v>1000</c:v>
                </c:pt>
                <c:pt idx="274">
                  <c:v>193</c:v>
                </c:pt>
                <c:pt idx="275">
                  <c:v>1801</c:v>
                </c:pt>
                <c:pt idx="276">
                  <c:v>850</c:v>
                </c:pt>
                <c:pt idx="277">
                  <c:v>6056</c:v>
                </c:pt>
                <c:pt idx="278">
                  <c:v>7000</c:v>
                </c:pt>
                <c:pt idx="279">
                  <c:v>1592</c:v>
                </c:pt>
                <c:pt idx="280">
                  <c:v>1549</c:v>
                </c:pt>
                <c:pt idx="281">
                  <c:v>2605</c:v>
                </c:pt>
                <c:pt idx="282">
                  <c:v>1476</c:v>
                </c:pt>
                <c:pt idx="283">
                  <c:v>1543</c:v>
                </c:pt>
                <c:pt idx="284">
                  <c:v>1248</c:v>
                </c:pt>
                <c:pt idx="285">
                  <c:v>3072</c:v>
                </c:pt>
                <c:pt idx="286">
                  <c:v>500</c:v>
                </c:pt>
                <c:pt idx="287">
                  <c:v>950</c:v>
                </c:pt>
                <c:pt idx="288">
                  <c:v>3681</c:v>
                </c:pt>
                <c:pt idx="289">
                  <c:v>885</c:v>
                </c:pt>
                <c:pt idx="290">
                  <c:v>1250</c:v>
                </c:pt>
                <c:pt idx="291">
                  <c:v>2000</c:v>
                </c:pt>
                <c:pt idx="292">
                  <c:v>530</c:v>
                </c:pt>
                <c:pt idx="293">
                  <c:v>1200</c:v>
                </c:pt>
                <c:pt idx="294">
                  <c:v>1070</c:v>
                </c:pt>
                <c:pt idx="295">
                  <c:v>666</c:v>
                </c:pt>
                <c:pt idx="296">
                  <c:v>700</c:v>
                </c:pt>
                <c:pt idx="297">
                  <c:v>2541</c:v>
                </c:pt>
                <c:pt idx="298">
                  <c:v>500</c:v>
                </c:pt>
                <c:pt idx="299">
                  <c:v>200</c:v>
                </c:pt>
                <c:pt idx="300">
                  <c:v>1377</c:v>
                </c:pt>
                <c:pt idx="301">
                  <c:v>622</c:v>
                </c:pt>
                <c:pt idx="302">
                  <c:v>1302</c:v>
                </c:pt>
                <c:pt idx="303">
                  <c:v>2322</c:v>
                </c:pt>
                <c:pt idx="304">
                  <c:v>630</c:v>
                </c:pt>
                <c:pt idx="305">
                  <c:v>1589</c:v>
                </c:pt>
                <c:pt idx="306">
                  <c:v>1412</c:v>
                </c:pt>
                <c:pt idx="307">
                  <c:v>546</c:v>
                </c:pt>
                <c:pt idx="308">
                  <c:v>2002</c:v>
                </c:pt>
                <c:pt idx="309">
                  <c:v>3801</c:v>
                </c:pt>
                <c:pt idx="310">
                  <c:v>5111</c:v>
                </c:pt>
                <c:pt idx="311">
                  <c:v>2249</c:v>
                </c:pt>
                <c:pt idx="312">
                  <c:v>949</c:v>
                </c:pt>
                <c:pt idx="313">
                  <c:v>2949</c:v>
                </c:pt>
                <c:pt idx="314">
                  <c:v>3550</c:v>
                </c:pt>
                <c:pt idx="315">
                  <c:v>5357</c:v>
                </c:pt>
                <c:pt idx="316">
                  <c:v>9280</c:v>
                </c:pt>
                <c:pt idx="317">
                  <c:v>10942</c:v>
                </c:pt>
                <c:pt idx="318">
                  <c:v>5102</c:v>
                </c:pt>
                <c:pt idx="319">
                  <c:v>4944</c:v>
                </c:pt>
                <c:pt idx="320">
                  <c:v>1569</c:v>
                </c:pt>
                <c:pt idx="321">
                  <c:v>3450</c:v>
                </c:pt>
                <c:pt idx="322">
                  <c:v>4260</c:v>
                </c:pt>
                <c:pt idx="323">
                  <c:v>3665</c:v>
                </c:pt>
                <c:pt idx="324">
                  <c:v>2398</c:v>
                </c:pt>
                <c:pt idx="325">
                  <c:v>1030</c:v>
                </c:pt>
                <c:pt idx="326">
                  <c:v>1162</c:v>
                </c:pt>
                <c:pt idx="327">
                  <c:v>2718</c:v>
                </c:pt>
                <c:pt idx="328">
                  <c:v>2491</c:v>
                </c:pt>
                <c:pt idx="329">
                  <c:v>1815</c:v>
                </c:pt>
                <c:pt idx="330">
                  <c:v>1899</c:v>
                </c:pt>
                <c:pt idx="331">
                  <c:v>1310</c:v>
                </c:pt>
                <c:pt idx="332">
                  <c:v>3150</c:v>
                </c:pt>
                <c:pt idx="333">
                  <c:v>100</c:v>
                </c:pt>
                <c:pt idx="334">
                  <c:v>500</c:v>
                </c:pt>
                <c:pt idx="335">
                  <c:v>907</c:v>
                </c:pt>
                <c:pt idx="336">
                  <c:v>700</c:v>
                </c:pt>
                <c:pt idx="337">
                  <c:v>1746</c:v>
                </c:pt>
                <c:pt idx="338">
                  <c:v>460</c:v>
                </c:pt>
                <c:pt idx="339">
                  <c:v>971</c:v>
                </c:pt>
                <c:pt idx="340">
                  <c:v>830</c:v>
                </c:pt>
                <c:pt idx="341">
                  <c:v>10890</c:v>
                </c:pt>
                <c:pt idx="342">
                  <c:v>5155</c:v>
                </c:pt>
                <c:pt idx="343">
                  <c:v>4671</c:v>
                </c:pt>
                <c:pt idx="344">
                  <c:v>5897</c:v>
                </c:pt>
                <c:pt idx="345">
                  <c:v>2483</c:v>
                </c:pt>
                <c:pt idx="346">
                  <c:v>3640</c:v>
                </c:pt>
                <c:pt idx="347">
                  <c:v>1626</c:v>
                </c:pt>
                <c:pt idx="348">
                  <c:v>950</c:v>
                </c:pt>
                <c:pt idx="349">
                  <c:v>2750</c:v>
                </c:pt>
                <c:pt idx="350">
                  <c:v>808</c:v>
                </c:pt>
                <c:pt idx="351">
                  <c:v>700</c:v>
                </c:pt>
                <c:pt idx="352">
                  <c:v>1330</c:v>
                </c:pt>
                <c:pt idx="353">
                  <c:v>1250</c:v>
                </c:pt>
                <c:pt idx="354">
                  <c:v>2650</c:v>
                </c:pt>
                <c:pt idx="355">
                  <c:v>2912</c:v>
                </c:pt>
                <c:pt idx="356">
                  <c:v>1200</c:v>
                </c:pt>
                <c:pt idx="357">
                  <c:v>669</c:v>
                </c:pt>
                <c:pt idx="358">
                  <c:v>300</c:v>
                </c:pt>
                <c:pt idx="359">
                  <c:v>470</c:v>
                </c:pt>
                <c:pt idx="360">
                  <c:v>550</c:v>
                </c:pt>
                <c:pt idx="361">
                  <c:v>500</c:v>
                </c:pt>
                <c:pt idx="362">
                  <c:v>1500</c:v>
                </c:pt>
                <c:pt idx="363">
                  <c:v>1610</c:v>
                </c:pt>
                <c:pt idx="364">
                  <c:v>270</c:v>
                </c:pt>
                <c:pt idx="365">
                  <c:v>2700</c:v>
                </c:pt>
                <c:pt idx="366">
                  <c:v>2110</c:v>
                </c:pt>
                <c:pt idx="367">
                  <c:v>3282</c:v>
                </c:pt>
                <c:pt idx="368">
                  <c:v>1578</c:v>
                </c:pt>
                <c:pt idx="369">
                  <c:v>400</c:v>
                </c:pt>
                <c:pt idx="370">
                  <c:v>3805</c:v>
                </c:pt>
                <c:pt idx="371">
                  <c:v>830</c:v>
                </c:pt>
                <c:pt idx="372">
                  <c:v>1870</c:v>
                </c:pt>
                <c:pt idx="373">
                  <c:v>2096</c:v>
                </c:pt>
                <c:pt idx="374">
                  <c:v>3420</c:v>
                </c:pt>
                <c:pt idx="375">
                  <c:v>200</c:v>
                </c:pt>
                <c:pt idx="376">
                  <c:v>300</c:v>
                </c:pt>
                <c:pt idx="377">
                  <c:v>1698</c:v>
                </c:pt>
                <c:pt idx="378">
                  <c:v>210</c:v>
                </c:pt>
                <c:pt idx="379">
                  <c:v>640</c:v>
                </c:pt>
                <c:pt idx="380">
                  <c:v>800</c:v>
                </c:pt>
                <c:pt idx="381">
                  <c:v>1390</c:v>
                </c:pt>
                <c:pt idx="382">
                  <c:v>1089</c:v>
                </c:pt>
                <c:pt idx="383">
                  <c:v>1766</c:v>
                </c:pt>
                <c:pt idx="384">
                  <c:v>130</c:v>
                </c:pt>
                <c:pt idx="385">
                  <c:v>2591</c:v>
                </c:pt>
                <c:pt idx="386">
                  <c:v>250</c:v>
                </c:pt>
                <c:pt idx="387">
                  <c:v>700</c:v>
                </c:pt>
                <c:pt idx="388">
                  <c:v>8</c:v>
                </c:pt>
                <c:pt idx="389">
                  <c:v>1088</c:v>
                </c:pt>
                <c:pt idx="390">
                  <c:v>500</c:v>
                </c:pt>
                <c:pt idx="391">
                  <c:v>1504</c:v>
                </c:pt>
                <c:pt idx="392">
                  <c:v>2836</c:v>
                </c:pt>
                <c:pt idx="393">
                  <c:v>575</c:v>
                </c:pt>
                <c:pt idx="394">
                  <c:v>1300</c:v>
                </c:pt>
                <c:pt idx="395">
                  <c:v>1960</c:v>
                </c:pt>
                <c:pt idx="396">
                  <c:v>1278</c:v>
                </c:pt>
                <c:pt idx="397">
                  <c:v>1692</c:v>
                </c:pt>
                <c:pt idx="398">
                  <c:v>649</c:v>
                </c:pt>
                <c:pt idx="399">
                  <c:v>2158</c:v>
                </c:pt>
                <c:pt idx="400">
                  <c:v>17290</c:v>
                </c:pt>
                <c:pt idx="401">
                  <c:v>2776</c:v>
                </c:pt>
                <c:pt idx="402">
                  <c:v>1686</c:v>
                </c:pt>
                <c:pt idx="403">
                  <c:v>2336</c:v>
                </c:pt>
                <c:pt idx="404">
                  <c:v>4391</c:v>
                </c:pt>
                <c:pt idx="405">
                  <c:v>5262</c:v>
                </c:pt>
                <c:pt idx="406">
                  <c:v>2958</c:v>
                </c:pt>
                <c:pt idx="407">
                  <c:v>4558</c:v>
                </c:pt>
                <c:pt idx="408">
                  <c:v>8458</c:v>
                </c:pt>
                <c:pt idx="409">
                  <c:v>1500</c:v>
                </c:pt>
                <c:pt idx="410">
                  <c:v>400</c:v>
                </c:pt>
                <c:pt idx="411">
                  <c:v>1400</c:v>
                </c:pt>
                <c:pt idx="412">
                  <c:v>4018</c:v>
                </c:pt>
                <c:pt idx="413">
                  <c:v>1000</c:v>
                </c:pt>
                <c:pt idx="414">
                  <c:v>2224</c:v>
                </c:pt>
                <c:pt idx="415">
                  <c:v>3665</c:v>
                </c:pt>
                <c:pt idx="416">
                  <c:v>1050</c:v>
                </c:pt>
                <c:pt idx="417">
                  <c:v>1311</c:v>
                </c:pt>
                <c:pt idx="418">
                  <c:v>6580</c:v>
                </c:pt>
                <c:pt idx="419">
                  <c:v>5393</c:v>
                </c:pt>
                <c:pt idx="420">
                  <c:v>2032</c:v>
                </c:pt>
                <c:pt idx="421">
                  <c:v>1626</c:v>
                </c:pt>
                <c:pt idx="422">
                  <c:v>250</c:v>
                </c:pt>
                <c:pt idx="423">
                  <c:v>1369</c:v>
                </c:pt>
                <c:pt idx="424">
                  <c:v>1800</c:v>
                </c:pt>
                <c:pt idx="425">
                  <c:v>4458</c:v>
                </c:pt>
                <c:pt idx="426">
                  <c:v>1600</c:v>
                </c:pt>
                <c:pt idx="427">
                  <c:v>2910</c:v>
                </c:pt>
                <c:pt idx="428">
                  <c:v>5250</c:v>
                </c:pt>
                <c:pt idx="429">
                  <c:v>1000</c:v>
                </c:pt>
                <c:pt idx="430">
                  <c:v>1000</c:v>
                </c:pt>
                <c:pt idx="431">
                  <c:v>970</c:v>
                </c:pt>
                <c:pt idx="432">
                  <c:v>2137</c:v>
                </c:pt>
                <c:pt idx="433">
                  <c:v>1650</c:v>
                </c:pt>
                <c:pt idx="434">
                  <c:v>430</c:v>
                </c:pt>
                <c:pt idx="435">
                  <c:v>400</c:v>
                </c:pt>
                <c:pt idx="436">
                  <c:v>1792140</c:v>
                </c:pt>
                <c:pt idx="437">
                  <c:v>955</c:v>
                </c:pt>
                <c:pt idx="438">
                  <c:v>1010</c:v>
                </c:pt>
                <c:pt idx="439">
                  <c:v>11281</c:v>
                </c:pt>
                <c:pt idx="440">
                  <c:v>7991</c:v>
                </c:pt>
                <c:pt idx="441">
                  <c:v>1020</c:v>
                </c:pt>
                <c:pt idx="442">
                  <c:v>7871</c:v>
                </c:pt>
                <c:pt idx="443">
                  <c:v>940</c:v>
                </c:pt>
                <c:pt idx="444">
                  <c:v>280</c:v>
                </c:pt>
                <c:pt idx="445">
                  <c:v>882</c:v>
                </c:pt>
                <c:pt idx="446">
                  <c:v>1388</c:v>
                </c:pt>
                <c:pt idx="447">
                  <c:v>600</c:v>
                </c:pt>
                <c:pt idx="448">
                  <c:v>65</c:v>
                </c:pt>
                <c:pt idx="449">
                  <c:v>2058</c:v>
                </c:pt>
                <c:pt idx="450">
                  <c:v>500</c:v>
                </c:pt>
                <c:pt idx="451">
                  <c:v>1500</c:v>
                </c:pt>
                <c:pt idx="452">
                  <c:v>1200</c:v>
                </c:pt>
                <c:pt idx="453">
                  <c:v>600</c:v>
                </c:pt>
                <c:pt idx="454">
                  <c:v>446</c:v>
                </c:pt>
                <c:pt idx="455">
                  <c:v>1346</c:v>
                </c:pt>
                <c:pt idx="456">
                  <c:v>3610</c:v>
                </c:pt>
                <c:pt idx="457">
                  <c:v>650</c:v>
                </c:pt>
                <c:pt idx="458">
                  <c:v>630</c:v>
                </c:pt>
                <c:pt idx="459">
                  <c:v>2501</c:v>
                </c:pt>
                <c:pt idx="460">
                  <c:v>1127</c:v>
                </c:pt>
                <c:pt idx="461">
                  <c:v>418</c:v>
                </c:pt>
                <c:pt idx="462">
                  <c:v>747</c:v>
                </c:pt>
                <c:pt idx="463">
                  <c:v>338</c:v>
                </c:pt>
                <c:pt idx="464">
                  <c:v>165</c:v>
                </c:pt>
                <c:pt idx="465">
                  <c:v>13</c:v>
                </c:pt>
                <c:pt idx="466">
                  <c:v>2206</c:v>
                </c:pt>
                <c:pt idx="467">
                  <c:v>1529</c:v>
                </c:pt>
                <c:pt idx="468">
                  <c:v>1600</c:v>
                </c:pt>
                <c:pt idx="469">
                  <c:v>2150</c:v>
                </c:pt>
                <c:pt idx="470">
                  <c:v>27500</c:v>
                </c:pt>
                <c:pt idx="471">
                  <c:v>24859</c:v>
                </c:pt>
                <c:pt idx="472">
                  <c:v>20108</c:v>
                </c:pt>
                <c:pt idx="473">
                  <c:v>14600</c:v>
                </c:pt>
                <c:pt idx="474">
                  <c:v>7262</c:v>
                </c:pt>
                <c:pt idx="475">
                  <c:v>12259</c:v>
                </c:pt>
                <c:pt idx="476">
                  <c:v>3173</c:v>
                </c:pt>
                <c:pt idx="477">
                  <c:v>6310</c:v>
                </c:pt>
                <c:pt idx="478">
                  <c:v>40321</c:v>
                </c:pt>
                <c:pt idx="479">
                  <c:v>7537</c:v>
                </c:pt>
                <c:pt idx="480">
                  <c:v>8501</c:v>
                </c:pt>
                <c:pt idx="481">
                  <c:v>4985</c:v>
                </c:pt>
                <c:pt idx="482">
                  <c:v>10135</c:v>
                </c:pt>
                <c:pt idx="483">
                  <c:v>5897</c:v>
                </c:pt>
                <c:pt idx="484">
                  <c:v>6406</c:v>
                </c:pt>
                <c:pt idx="485">
                  <c:v>6520</c:v>
                </c:pt>
                <c:pt idx="486">
                  <c:v>2643</c:v>
                </c:pt>
                <c:pt idx="487">
                  <c:v>1796</c:v>
                </c:pt>
                <c:pt idx="488">
                  <c:v>6839</c:v>
                </c:pt>
                <c:pt idx="489">
                  <c:v>4975</c:v>
                </c:pt>
                <c:pt idx="490">
                  <c:v>500</c:v>
                </c:pt>
                <c:pt idx="491">
                  <c:v>600</c:v>
                </c:pt>
                <c:pt idx="492">
                  <c:v>962</c:v>
                </c:pt>
                <c:pt idx="493">
                  <c:v>5973</c:v>
                </c:pt>
                <c:pt idx="494">
                  <c:v>1175</c:v>
                </c:pt>
                <c:pt idx="495">
                  <c:v>1484</c:v>
                </c:pt>
                <c:pt idx="496">
                  <c:v>100</c:v>
                </c:pt>
                <c:pt idx="497">
                  <c:v>3185</c:v>
                </c:pt>
                <c:pt idx="498">
                  <c:v>5981</c:v>
                </c:pt>
                <c:pt idx="499">
                  <c:v>1140</c:v>
                </c:pt>
                <c:pt idx="500">
                  <c:v>2188</c:v>
                </c:pt>
                <c:pt idx="501">
                  <c:v>1557</c:v>
                </c:pt>
                <c:pt idx="502">
                  <c:v>2606</c:v>
                </c:pt>
                <c:pt idx="503">
                  <c:v>5435</c:v>
                </c:pt>
                <c:pt idx="504">
                  <c:v>3139</c:v>
                </c:pt>
                <c:pt idx="505">
                  <c:v>1700</c:v>
                </c:pt>
                <c:pt idx="506">
                  <c:v>1150</c:v>
                </c:pt>
                <c:pt idx="507">
                  <c:v>686</c:v>
                </c:pt>
                <c:pt idx="508">
                  <c:v>1113</c:v>
                </c:pt>
                <c:pt idx="509">
                  <c:v>1855</c:v>
                </c:pt>
                <c:pt idx="510">
                  <c:v>1900</c:v>
                </c:pt>
                <c:pt idx="511">
                  <c:v>292</c:v>
                </c:pt>
                <c:pt idx="512">
                  <c:v>1030</c:v>
                </c:pt>
                <c:pt idx="513">
                  <c:v>906</c:v>
                </c:pt>
                <c:pt idx="514">
                  <c:v>1005</c:v>
                </c:pt>
                <c:pt idx="515">
                  <c:v>640</c:v>
                </c:pt>
                <c:pt idx="516">
                  <c:v>1232</c:v>
                </c:pt>
                <c:pt idx="517">
                  <c:v>1200</c:v>
                </c:pt>
                <c:pt idx="518">
                  <c:v>726</c:v>
                </c:pt>
                <c:pt idx="519">
                  <c:v>2001</c:v>
                </c:pt>
                <c:pt idx="520">
                  <c:v>405</c:v>
                </c:pt>
                <c:pt idx="521">
                  <c:v>483</c:v>
                </c:pt>
                <c:pt idx="522">
                  <c:v>1700</c:v>
                </c:pt>
                <c:pt idx="523">
                  <c:v>4300</c:v>
                </c:pt>
                <c:pt idx="524">
                  <c:v>775</c:v>
                </c:pt>
                <c:pt idx="525">
                  <c:v>1117</c:v>
                </c:pt>
                <c:pt idx="526">
                  <c:v>400</c:v>
                </c:pt>
                <c:pt idx="527">
                  <c:v>862</c:v>
                </c:pt>
                <c:pt idx="528">
                  <c:v>1777</c:v>
                </c:pt>
                <c:pt idx="529">
                  <c:v>3335</c:v>
                </c:pt>
                <c:pt idx="530">
                  <c:v>153</c:v>
                </c:pt>
                <c:pt idx="531">
                  <c:v>600</c:v>
                </c:pt>
                <c:pt idx="532">
                  <c:v>1109</c:v>
                </c:pt>
                <c:pt idx="533">
                  <c:v>1450</c:v>
                </c:pt>
                <c:pt idx="534">
                  <c:v>200</c:v>
                </c:pt>
                <c:pt idx="535">
                  <c:v>838</c:v>
                </c:pt>
                <c:pt idx="536">
                  <c:v>242869</c:v>
                </c:pt>
                <c:pt idx="537">
                  <c:v>6899</c:v>
                </c:pt>
                <c:pt idx="538">
                  <c:v>19531</c:v>
                </c:pt>
                <c:pt idx="539">
                  <c:v>153658</c:v>
                </c:pt>
                <c:pt idx="540">
                  <c:v>7973</c:v>
                </c:pt>
                <c:pt idx="541">
                  <c:v>21114</c:v>
                </c:pt>
                <c:pt idx="542">
                  <c:v>6780</c:v>
                </c:pt>
                <c:pt idx="543">
                  <c:v>18362</c:v>
                </c:pt>
                <c:pt idx="544">
                  <c:v>2696</c:v>
                </c:pt>
                <c:pt idx="545">
                  <c:v>4675</c:v>
                </c:pt>
                <c:pt idx="546">
                  <c:v>6240</c:v>
                </c:pt>
                <c:pt idx="547">
                  <c:v>5350</c:v>
                </c:pt>
                <c:pt idx="548">
                  <c:v>1309</c:v>
                </c:pt>
                <c:pt idx="549">
                  <c:v>6790</c:v>
                </c:pt>
                <c:pt idx="550">
                  <c:v>2140</c:v>
                </c:pt>
                <c:pt idx="551">
                  <c:v>3000</c:v>
                </c:pt>
                <c:pt idx="552">
                  <c:v>2430</c:v>
                </c:pt>
                <c:pt idx="553">
                  <c:v>7624</c:v>
                </c:pt>
                <c:pt idx="554">
                  <c:v>7272</c:v>
                </c:pt>
                <c:pt idx="555">
                  <c:v>5335</c:v>
                </c:pt>
                <c:pt idx="556">
                  <c:v>50</c:v>
                </c:pt>
                <c:pt idx="557">
                  <c:v>6050</c:v>
                </c:pt>
                <c:pt idx="558">
                  <c:v>2460</c:v>
                </c:pt>
                <c:pt idx="559">
                  <c:v>2307</c:v>
                </c:pt>
                <c:pt idx="560">
                  <c:v>576</c:v>
                </c:pt>
                <c:pt idx="561">
                  <c:v>2360</c:v>
                </c:pt>
                <c:pt idx="562">
                  <c:v>1379</c:v>
                </c:pt>
                <c:pt idx="563">
                  <c:v>536</c:v>
                </c:pt>
                <c:pt idx="564">
                  <c:v>200</c:v>
                </c:pt>
                <c:pt idx="565">
                  <c:v>2450</c:v>
                </c:pt>
                <c:pt idx="566">
                  <c:v>1766</c:v>
                </c:pt>
                <c:pt idx="567">
                  <c:v>1180</c:v>
                </c:pt>
                <c:pt idx="568">
                  <c:v>200</c:v>
                </c:pt>
                <c:pt idx="569">
                  <c:v>2000</c:v>
                </c:pt>
                <c:pt idx="570">
                  <c:v>600</c:v>
                </c:pt>
                <c:pt idx="571">
                  <c:v>1495</c:v>
                </c:pt>
                <c:pt idx="572">
                  <c:v>500</c:v>
                </c:pt>
                <c:pt idx="573">
                  <c:v>4301</c:v>
                </c:pt>
                <c:pt idx="574">
                  <c:v>3895</c:v>
                </c:pt>
                <c:pt idx="575">
                  <c:v>2733</c:v>
                </c:pt>
                <c:pt idx="576">
                  <c:v>3450</c:v>
                </c:pt>
                <c:pt idx="577">
                  <c:v>1550</c:v>
                </c:pt>
                <c:pt idx="578">
                  <c:v>565</c:v>
                </c:pt>
                <c:pt idx="579">
                  <c:v>10451</c:v>
                </c:pt>
                <c:pt idx="580">
                  <c:v>565</c:v>
                </c:pt>
                <c:pt idx="581">
                  <c:v>3300</c:v>
                </c:pt>
                <c:pt idx="582">
                  <c:v>14987</c:v>
                </c:pt>
                <c:pt idx="583">
                  <c:v>6917</c:v>
                </c:pt>
                <c:pt idx="584">
                  <c:v>3305</c:v>
                </c:pt>
                <c:pt idx="585">
                  <c:v>13256</c:v>
                </c:pt>
                <c:pt idx="586">
                  <c:v>4683</c:v>
                </c:pt>
                <c:pt idx="587">
                  <c:v>5265</c:v>
                </c:pt>
                <c:pt idx="588">
                  <c:v>3080</c:v>
                </c:pt>
                <c:pt idx="589">
                  <c:v>1666</c:v>
                </c:pt>
                <c:pt idx="590">
                  <c:v>2004</c:v>
                </c:pt>
                <c:pt idx="591">
                  <c:v>96</c:v>
                </c:pt>
                <c:pt idx="592">
                  <c:v>1746</c:v>
                </c:pt>
                <c:pt idx="593">
                  <c:v>3577</c:v>
                </c:pt>
                <c:pt idx="594">
                  <c:v>2755</c:v>
                </c:pt>
                <c:pt idx="595">
                  <c:v>610</c:v>
                </c:pt>
                <c:pt idx="596">
                  <c:v>1646</c:v>
                </c:pt>
                <c:pt idx="597">
                  <c:v>1320</c:v>
                </c:pt>
                <c:pt idx="598">
                  <c:v>1000</c:v>
                </c:pt>
                <c:pt idx="599">
                  <c:v>5294</c:v>
                </c:pt>
                <c:pt idx="600">
                  <c:v>5183</c:v>
                </c:pt>
                <c:pt idx="601">
                  <c:v>6680</c:v>
                </c:pt>
                <c:pt idx="602">
                  <c:v>2193</c:v>
                </c:pt>
                <c:pt idx="603">
                  <c:v>5535</c:v>
                </c:pt>
                <c:pt idx="604">
                  <c:v>3109</c:v>
                </c:pt>
                <c:pt idx="605">
                  <c:v>4592</c:v>
                </c:pt>
                <c:pt idx="606">
                  <c:v>4000</c:v>
                </c:pt>
                <c:pt idx="607">
                  <c:v>1550</c:v>
                </c:pt>
                <c:pt idx="608">
                  <c:v>1682</c:v>
                </c:pt>
                <c:pt idx="609">
                  <c:v>1200</c:v>
                </c:pt>
                <c:pt idx="610">
                  <c:v>1200</c:v>
                </c:pt>
                <c:pt idx="611">
                  <c:v>140</c:v>
                </c:pt>
                <c:pt idx="612">
                  <c:v>1315</c:v>
                </c:pt>
                <c:pt idx="613">
                  <c:v>1008</c:v>
                </c:pt>
                <c:pt idx="614">
                  <c:v>5625</c:v>
                </c:pt>
                <c:pt idx="615">
                  <c:v>720</c:v>
                </c:pt>
                <c:pt idx="616">
                  <c:v>1400</c:v>
                </c:pt>
                <c:pt idx="617">
                  <c:v>4719</c:v>
                </c:pt>
                <c:pt idx="618">
                  <c:v>4491</c:v>
                </c:pt>
                <c:pt idx="619">
                  <c:v>5026</c:v>
                </c:pt>
                <c:pt idx="620">
                  <c:v>3100</c:v>
                </c:pt>
                <c:pt idx="621">
                  <c:v>4966</c:v>
                </c:pt>
                <c:pt idx="622">
                  <c:v>6831</c:v>
                </c:pt>
                <c:pt idx="623">
                  <c:v>200</c:v>
                </c:pt>
                <c:pt idx="624">
                  <c:v>435</c:v>
                </c:pt>
                <c:pt idx="625">
                  <c:v>70</c:v>
                </c:pt>
                <c:pt idx="626">
                  <c:v>55</c:v>
                </c:pt>
                <c:pt idx="627">
                  <c:v>3548</c:v>
                </c:pt>
                <c:pt idx="628">
                  <c:v>8172</c:v>
                </c:pt>
                <c:pt idx="629">
                  <c:v>400</c:v>
                </c:pt>
                <c:pt idx="630">
                  <c:v>1100</c:v>
                </c:pt>
                <c:pt idx="631">
                  <c:v>1154</c:v>
                </c:pt>
                <c:pt idx="632">
                  <c:v>2100</c:v>
                </c:pt>
                <c:pt idx="633">
                  <c:v>799</c:v>
                </c:pt>
                <c:pt idx="634">
                  <c:v>70</c:v>
                </c:pt>
                <c:pt idx="635">
                  <c:v>1355</c:v>
                </c:pt>
                <c:pt idx="636">
                  <c:v>975</c:v>
                </c:pt>
                <c:pt idx="637">
                  <c:v>300</c:v>
                </c:pt>
                <c:pt idx="638">
                  <c:v>2506</c:v>
                </c:pt>
                <c:pt idx="639">
                  <c:v>1000</c:v>
                </c:pt>
                <c:pt idx="640">
                  <c:v>4712</c:v>
                </c:pt>
                <c:pt idx="641">
                  <c:v>1226</c:v>
                </c:pt>
                <c:pt idx="642">
                  <c:v>37</c:v>
                </c:pt>
                <c:pt idx="643">
                  <c:v>3018</c:v>
                </c:pt>
                <c:pt idx="644">
                  <c:v>2200</c:v>
                </c:pt>
                <c:pt idx="645">
                  <c:v>820</c:v>
                </c:pt>
                <c:pt idx="646">
                  <c:v>1757</c:v>
                </c:pt>
                <c:pt idx="647">
                  <c:v>1457</c:v>
                </c:pt>
                <c:pt idx="648">
                  <c:v>260</c:v>
                </c:pt>
                <c:pt idx="649">
                  <c:v>4259</c:v>
                </c:pt>
                <c:pt idx="650">
                  <c:v>446</c:v>
                </c:pt>
                <c:pt idx="651">
                  <c:v>1500</c:v>
                </c:pt>
                <c:pt idx="652">
                  <c:v>2370</c:v>
                </c:pt>
                <c:pt idx="653">
                  <c:v>5716</c:v>
                </c:pt>
                <c:pt idx="654">
                  <c:v>3171</c:v>
                </c:pt>
                <c:pt idx="655">
                  <c:v>2242</c:v>
                </c:pt>
                <c:pt idx="656">
                  <c:v>236</c:v>
                </c:pt>
                <c:pt idx="657">
                  <c:v>180</c:v>
                </c:pt>
                <c:pt idx="658">
                  <c:v>375</c:v>
                </c:pt>
                <c:pt idx="659">
                  <c:v>1770</c:v>
                </c:pt>
                <c:pt idx="660">
                  <c:v>1213</c:v>
                </c:pt>
                <c:pt idx="661">
                  <c:v>5</c:v>
                </c:pt>
                <c:pt idx="662">
                  <c:v>32</c:v>
                </c:pt>
                <c:pt idx="663">
                  <c:v>270</c:v>
                </c:pt>
                <c:pt idx="664">
                  <c:v>25</c:v>
                </c:pt>
                <c:pt idx="665">
                  <c:v>500</c:v>
                </c:pt>
                <c:pt idx="666">
                  <c:v>1369</c:v>
                </c:pt>
                <c:pt idx="667">
                  <c:v>740</c:v>
                </c:pt>
                <c:pt idx="668">
                  <c:v>1230</c:v>
                </c:pt>
                <c:pt idx="669">
                  <c:v>900</c:v>
                </c:pt>
                <c:pt idx="670">
                  <c:v>1700</c:v>
                </c:pt>
                <c:pt idx="671">
                  <c:v>1754</c:v>
                </c:pt>
                <c:pt idx="672">
                  <c:v>75</c:v>
                </c:pt>
                <c:pt idx="673">
                  <c:v>360</c:v>
                </c:pt>
                <c:pt idx="674">
                  <c:v>4830</c:v>
                </c:pt>
                <c:pt idx="675">
                  <c:v>100</c:v>
                </c:pt>
                <c:pt idx="676">
                  <c:v>4040</c:v>
                </c:pt>
                <c:pt idx="677">
                  <c:v>7226</c:v>
                </c:pt>
                <c:pt idx="678">
                  <c:v>304</c:v>
                </c:pt>
                <c:pt idx="679">
                  <c:v>500</c:v>
                </c:pt>
                <c:pt idx="680">
                  <c:v>445</c:v>
                </c:pt>
                <c:pt idx="681">
                  <c:v>312</c:v>
                </c:pt>
                <c:pt idx="682">
                  <c:v>237</c:v>
                </c:pt>
                <c:pt idx="683">
                  <c:v>350</c:v>
                </c:pt>
                <c:pt idx="684">
                  <c:v>14</c:v>
                </c:pt>
                <c:pt idx="685">
                  <c:v>30</c:v>
                </c:pt>
                <c:pt idx="686">
                  <c:v>760</c:v>
                </c:pt>
                <c:pt idx="687">
                  <c:v>750</c:v>
                </c:pt>
                <c:pt idx="688">
                  <c:v>2460</c:v>
                </c:pt>
                <c:pt idx="689">
                  <c:v>1226</c:v>
                </c:pt>
                <c:pt idx="690">
                  <c:v>3535</c:v>
                </c:pt>
                <c:pt idx="691">
                  <c:v>250</c:v>
                </c:pt>
                <c:pt idx="692">
                  <c:v>152</c:v>
                </c:pt>
                <c:pt idx="693">
                  <c:v>571</c:v>
                </c:pt>
                <c:pt idx="694">
                  <c:v>730</c:v>
                </c:pt>
                <c:pt idx="695">
                  <c:v>238</c:v>
                </c:pt>
                <c:pt idx="696">
                  <c:v>780</c:v>
                </c:pt>
                <c:pt idx="697">
                  <c:v>760</c:v>
                </c:pt>
                <c:pt idx="698">
                  <c:v>1000</c:v>
                </c:pt>
                <c:pt idx="699">
                  <c:v>2760</c:v>
                </c:pt>
                <c:pt idx="700">
                  <c:v>944</c:v>
                </c:pt>
                <c:pt idx="701">
                  <c:v>203</c:v>
                </c:pt>
                <c:pt idx="702">
                  <c:v>1725</c:v>
                </c:pt>
                <c:pt idx="703">
                  <c:v>1072</c:v>
                </c:pt>
                <c:pt idx="704">
                  <c:v>215</c:v>
                </c:pt>
                <c:pt idx="705">
                  <c:v>2799</c:v>
                </c:pt>
                <c:pt idx="706">
                  <c:v>57</c:v>
                </c:pt>
                <c:pt idx="707">
                  <c:v>13000</c:v>
                </c:pt>
                <c:pt idx="708">
                  <c:v>12652</c:v>
                </c:pt>
                <c:pt idx="709">
                  <c:v>4415</c:v>
                </c:pt>
                <c:pt idx="710">
                  <c:v>6211</c:v>
                </c:pt>
                <c:pt idx="711">
                  <c:v>4015</c:v>
                </c:pt>
                <c:pt idx="712">
                  <c:v>1340</c:v>
                </c:pt>
                <c:pt idx="713">
                  <c:v>1769</c:v>
                </c:pt>
                <c:pt idx="714">
                  <c:v>222</c:v>
                </c:pt>
                <c:pt idx="715">
                  <c:v>349</c:v>
                </c:pt>
                <c:pt idx="716">
                  <c:v>2252</c:v>
                </c:pt>
                <c:pt idx="717">
                  <c:v>1900</c:v>
                </c:pt>
                <c:pt idx="718">
                  <c:v>460</c:v>
                </c:pt>
                <c:pt idx="719">
                  <c:v>1430</c:v>
                </c:pt>
                <c:pt idx="720">
                  <c:v>988</c:v>
                </c:pt>
                <c:pt idx="721">
                  <c:v>1250</c:v>
                </c:pt>
                <c:pt idx="722">
                  <c:v>709</c:v>
                </c:pt>
                <c:pt idx="723">
                  <c:v>5596</c:v>
                </c:pt>
                <c:pt idx="724">
                  <c:v>500</c:v>
                </c:pt>
                <c:pt idx="725">
                  <c:v>2220</c:v>
                </c:pt>
                <c:pt idx="726">
                  <c:v>400</c:v>
                </c:pt>
                <c:pt idx="727">
                  <c:v>1100</c:v>
                </c:pt>
                <c:pt idx="728">
                  <c:v>1973</c:v>
                </c:pt>
                <c:pt idx="729">
                  <c:v>1035</c:v>
                </c:pt>
                <c:pt idx="730">
                  <c:v>2200</c:v>
                </c:pt>
                <c:pt idx="731">
                  <c:v>750</c:v>
                </c:pt>
                <c:pt idx="732">
                  <c:v>888</c:v>
                </c:pt>
                <c:pt idx="733">
                  <c:v>990</c:v>
                </c:pt>
                <c:pt idx="734">
                  <c:v>247</c:v>
                </c:pt>
                <c:pt idx="735">
                  <c:v>2204</c:v>
                </c:pt>
                <c:pt idx="736">
                  <c:v>596</c:v>
                </c:pt>
                <c:pt idx="737">
                  <c:v>1600</c:v>
                </c:pt>
                <c:pt idx="738">
                  <c:v>299</c:v>
                </c:pt>
                <c:pt idx="739">
                  <c:v>957</c:v>
                </c:pt>
                <c:pt idx="740">
                  <c:v>2000</c:v>
                </c:pt>
                <c:pt idx="741">
                  <c:v>100</c:v>
                </c:pt>
                <c:pt idx="742">
                  <c:v>100</c:v>
                </c:pt>
                <c:pt idx="743">
                  <c:v>555</c:v>
                </c:pt>
                <c:pt idx="744">
                  <c:v>336</c:v>
                </c:pt>
                <c:pt idx="745">
                  <c:v>2025</c:v>
                </c:pt>
                <c:pt idx="746">
                  <c:v>129</c:v>
                </c:pt>
                <c:pt idx="747">
                  <c:v>650</c:v>
                </c:pt>
                <c:pt idx="748">
                  <c:v>6400</c:v>
                </c:pt>
                <c:pt idx="749">
                  <c:v>1000</c:v>
                </c:pt>
                <c:pt idx="750">
                  <c:v>3600</c:v>
                </c:pt>
                <c:pt idx="751">
                  <c:v>100</c:v>
                </c:pt>
                <c:pt idx="752">
                  <c:v>219</c:v>
                </c:pt>
                <c:pt idx="753">
                  <c:v>250</c:v>
                </c:pt>
                <c:pt idx="754">
                  <c:v>1435</c:v>
                </c:pt>
                <c:pt idx="755">
                  <c:v>100</c:v>
                </c:pt>
                <c:pt idx="756">
                  <c:v>850</c:v>
                </c:pt>
                <c:pt idx="757">
                  <c:v>531</c:v>
                </c:pt>
                <c:pt idx="758">
                  <c:v>571</c:v>
                </c:pt>
                <c:pt idx="759">
                  <c:v>1087</c:v>
                </c:pt>
                <c:pt idx="760">
                  <c:v>348</c:v>
                </c:pt>
                <c:pt idx="761">
                  <c:v>2250</c:v>
                </c:pt>
                <c:pt idx="762">
                  <c:v>200</c:v>
                </c:pt>
                <c:pt idx="763">
                  <c:v>564</c:v>
                </c:pt>
                <c:pt idx="764">
                  <c:v>32</c:v>
                </c:pt>
                <c:pt idx="765">
                  <c:v>676</c:v>
                </c:pt>
                <c:pt idx="766">
                  <c:v>1000</c:v>
                </c:pt>
                <c:pt idx="767">
                  <c:v>100</c:v>
                </c:pt>
                <c:pt idx="768">
                  <c:v>775</c:v>
                </c:pt>
                <c:pt idx="769">
                  <c:v>15749</c:v>
                </c:pt>
                <c:pt idx="770">
                  <c:v>2110</c:v>
                </c:pt>
                <c:pt idx="771">
                  <c:v>1750</c:v>
                </c:pt>
                <c:pt idx="772">
                  <c:v>200</c:v>
                </c:pt>
                <c:pt idx="773">
                  <c:v>199</c:v>
                </c:pt>
                <c:pt idx="774">
                  <c:v>32</c:v>
                </c:pt>
                <c:pt idx="775">
                  <c:v>1006</c:v>
                </c:pt>
                <c:pt idx="776">
                  <c:v>550</c:v>
                </c:pt>
                <c:pt idx="777">
                  <c:v>832</c:v>
                </c:pt>
                <c:pt idx="778">
                  <c:v>56</c:v>
                </c:pt>
                <c:pt idx="779">
                  <c:v>6542</c:v>
                </c:pt>
                <c:pt idx="780">
                  <c:v>7361</c:v>
                </c:pt>
                <c:pt idx="781">
                  <c:v>21080</c:v>
                </c:pt>
                <c:pt idx="782">
                  <c:v>1706</c:v>
                </c:pt>
                <c:pt idx="783">
                  <c:v>990</c:v>
                </c:pt>
                <c:pt idx="784">
                  <c:v>1500</c:v>
                </c:pt>
                <c:pt idx="785">
                  <c:v>32</c:v>
                </c:pt>
                <c:pt idx="786">
                  <c:v>100</c:v>
                </c:pt>
                <c:pt idx="787">
                  <c:v>2604</c:v>
                </c:pt>
                <c:pt idx="788">
                  <c:v>3400</c:v>
                </c:pt>
                <c:pt idx="789">
                  <c:v>2420</c:v>
                </c:pt>
                <c:pt idx="790">
                  <c:v>126316</c:v>
                </c:pt>
                <c:pt idx="791">
                  <c:v>16644</c:v>
                </c:pt>
                <c:pt idx="792">
                  <c:v>22384</c:v>
                </c:pt>
                <c:pt idx="793">
                  <c:v>5029</c:v>
                </c:pt>
                <c:pt idx="794">
                  <c:v>3320</c:v>
                </c:pt>
                <c:pt idx="795">
                  <c:v>10000</c:v>
                </c:pt>
                <c:pt idx="796">
                  <c:v>1500</c:v>
                </c:pt>
                <c:pt idx="797">
                  <c:v>395</c:v>
                </c:pt>
                <c:pt idx="798">
                  <c:v>2060</c:v>
                </c:pt>
                <c:pt idx="799">
                  <c:v>546</c:v>
                </c:pt>
                <c:pt idx="800">
                  <c:v>3014</c:v>
                </c:pt>
                <c:pt idx="801">
                  <c:v>3875</c:v>
                </c:pt>
                <c:pt idx="802">
                  <c:v>4065</c:v>
                </c:pt>
                <c:pt idx="803">
                  <c:v>2800</c:v>
                </c:pt>
                <c:pt idx="804">
                  <c:v>38</c:v>
                </c:pt>
                <c:pt idx="805">
                  <c:v>140</c:v>
                </c:pt>
                <c:pt idx="806">
                  <c:v>2300</c:v>
                </c:pt>
                <c:pt idx="807">
                  <c:v>567</c:v>
                </c:pt>
                <c:pt idx="808">
                  <c:v>539</c:v>
                </c:pt>
                <c:pt idx="809">
                  <c:v>2000</c:v>
                </c:pt>
                <c:pt idx="810">
                  <c:v>600</c:v>
                </c:pt>
                <c:pt idx="811">
                  <c:v>10038</c:v>
                </c:pt>
                <c:pt idx="812">
                  <c:v>1000</c:v>
                </c:pt>
                <c:pt idx="813">
                  <c:v>1125</c:v>
                </c:pt>
                <c:pt idx="814">
                  <c:v>32</c:v>
                </c:pt>
                <c:pt idx="815">
                  <c:v>2800</c:v>
                </c:pt>
                <c:pt idx="816">
                  <c:v>1200</c:v>
                </c:pt>
                <c:pt idx="817">
                  <c:v>1930</c:v>
                </c:pt>
                <c:pt idx="818">
                  <c:v>6740</c:v>
                </c:pt>
                <c:pt idx="819">
                  <c:v>2075</c:v>
                </c:pt>
                <c:pt idx="820">
                  <c:v>2255</c:v>
                </c:pt>
                <c:pt idx="821">
                  <c:v>4300</c:v>
                </c:pt>
                <c:pt idx="822">
                  <c:v>500</c:v>
                </c:pt>
                <c:pt idx="823">
                  <c:v>300</c:v>
                </c:pt>
                <c:pt idx="824">
                  <c:v>2360</c:v>
                </c:pt>
                <c:pt idx="825">
                  <c:v>40</c:v>
                </c:pt>
                <c:pt idx="826">
                  <c:v>1058</c:v>
                </c:pt>
                <c:pt idx="827">
                  <c:v>2000</c:v>
                </c:pt>
                <c:pt idx="828">
                  <c:v>500</c:v>
                </c:pt>
                <c:pt idx="829">
                  <c:v>2800</c:v>
                </c:pt>
                <c:pt idx="830">
                  <c:v>3509</c:v>
                </c:pt>
                <c:pt idx="831">
                  <c:v>144</c:v>
                </c:pt>
                <c:pt idx="832">
                  <c:v>1497</c:v>
                </c:pt>
                <c:pt idx="833">
                  <c:v>200</c:v>
                </c:pt>
                <c:pt idx="834">
                  <c:v>100</c:v>
                </c:pt>
                <c:pt idx="835">
                  <c:v>100</c:v>
                </c:pt>
                <c:pt idx="836">
                  <c:v>450</c:v>
                </c:pt>
                <c:pt idx="837">
                  <c:v>500</c:v>
                </c:pt>
                <c:pt idx="838">
                  <c:v>2325</c:v>
                </c:pt>
                <c:pt idx="839">
                  <c:v>800</c:v>
                </c:pt>
                <c:pt idx="840">
                  <c:v>250</c:v>
                </c:pt>
                <c:pt idx="841">
                  <c:v>365</c:v>
                </c:pt>
                <c:pt idx="842">
                  <c:v>4731</c:v>
                </c:pt>
                <c:pt idx="843">
                  <c:v>787</c:v>
                </c:pt>
                <c:pt idx="844">
                  <c:v>593</c:v>
                </c:pt>
                <c:pt idx="845">
                  <c:v>465</c:v>
                </c:pt>
                <c:pt idx="846">
                  <c:v>2060</c:v>
                </c:pt>
                <c:pt idx="847">
                  <c:v>247</c:v>
                </c:pt>
                <c:pt idx="848">
                  <c:v>1280</c:v>
                </c:pt>
                <c:pt idx="849">
                  <c:v>4650</c:v>
                </c:pt>
                <c:pt idx="850">
                  <c:v>500</c:v>
                </c:pt>
                <c:pt idx="851">
                  <c:v>2000</c:v>
                </c:pt>
                <c:pt idx="852">
                  <c:v>1000</c:v>
                </c:pt>
                <c:pt idx="853">
                  <c:v>5700</c:v>
                </c:pt>
                <c:pt idx="854">
                  <c:v>300</c:v>
                </c:pt>
                <c:pt idx="855">
                  <c:v>9012</c:v>
                </c:pt>
                <c:pt idx="856">
                  <c:v>2500</c:v>
                </c:pt>
                <c:pt idx="857">
                  <c:v>4535</c:v>
                </c:pt>
                <c:pt idx="858">
                  <c:v>10612</c:v>
                </c:pt>
                <c:pt idx="859">
                  <c:v>2640</c:v>
                </c:pt>
                <c:pt idx="860">
                  <c:v>4797</c:v>
                </c:pt>
                <c:pt idx="861">
                  <c:v>3400</c:v>
                </c:pt>
                <c:pt idx="862">
                  <c:v>480</c:v>
                </c:pt>
                <c:pt idx="863">
                  <c:v>2568</c:v>
                </c:pt>
                <c:pt idx="864">
                  <c:v>11345</c:v>
                </c:pt>
                <c:pt idx="865">
                  <c:v>4630</c:v>
                </c:pt>
                <c:pt idx="866">
                  <c:v>880</c:v>
                </c:pt>
                <c:pt idx="867">
                  <c:v>1545</c:v>
                </c:pt>
                <c:pt idx="868">
                  <c:v>30386</c:v>
                </c:pt>
                <c:pt idx="869">
                  <c:v>6361</c:v>
                </c:pt>
                <c:pt idx="870">
                  <c:v>8935</c:v>
                </c:pt>
                <c:pt idx="871">
                  <c:v>1223</c:v>
                </c:pt>
                <c:pt idx="872">
                  <c:v>1578</c:v>
                </c:pt>
                <c:pt idx="873">
                  <c:v>6892</c:v>
                </c:pt>
                <c:pt idx="874">
                  <c:v>4204</c:v>
                </c:pt>
                <c:pt idx="875">
                  <c:v>2500</c:v>
                </c:pt>
                <c:pt idx="876">
                  <c:v>17217</c:v>
                </c:pt>
                <c:pt idx="877">
                  <c:v>5733</c:v>
                </c:pt>
                <c:pt idx="878">
                  <c:v>3200</c:v>
                </c:pt>
                <c:pt idx="879">
                  <c:v>5381</c:v>
                </c:pt>
                <c:pt idx="880">
                  <c:v>5339</c:v>
                </c:pt>
                <c:pt idx="881">
                  <c:v>19237</c:v>
                </c:pt>
                <c:pt idx="882">
                  <c:v>9070</c:v>
                </c:pt>
                <c:pt idx="883">
                  <c:v>4521</c:v>
                </c:pt>
                <c:pt idx="884">
                  <c:v>6459</c:v>
                </c:pt>
                <c:pt idx="885">
                  <c:v>13199</c:v>
                </c:pt>
                <c:pt idx="886">
                  <c:v>18110</c:v>
                </c:pt>
                <c:pt idx="887">
                  <c:v>5994</c:v>
                </c:pt>
                <c:pt idx="888">
                  <c:v>2020</c:v>
                </c:pt>
                <c:pt idx="889">
                  <c:v>6000</c:v>
                </c:pt>
                <c:pt idx="890">
                  <c:v>1750</c:v>
                </c:pt>
                <c:pt idx="891">
                  <c:v>793</c:v>
                </c:pt>
                <c:pt idx="892">
                  <c:v>2293</c:v>
                </c:pt>
                <c:pt idx="893">
                  <c:v>2990</c:v>
                </c:pt>
                <c:pt idx="894">
                  <c:v>2151</c:v>
                </c:pt>
                <c:pt idx="895">
                  <c:v>1063</c:v>
                </c:pt>
                <c:pt idx="896">
                  <c:v>2692</c:v>
                </c:pt>
                <c:pt idx="897">
                  <c:v>2500</c:v>
                </c:pt>
                <c:pt idx="898">
                  <c:v>829</c:v>
                </c:pt>
                <c:pt idx="899">
                  <c:v>330</c:v>
                </c:pt>
                <c:pt idx="900">
                  <c:v>1075</c:v>
                </c:pt>
                <c:pt idx="901">
                  <c:v>917</c:v>
                </c:pt>
                <c:pt idx="902">
                  <c:v>15559</c:v>
                </c:pt>
                <c:pt idx="903">
                  <c:v>6314</c:v>
                </c:pt>
                <c:pt idx="904">
                  <c:v>2380</c:v>
                </c:pt>
                <c:pt idx="905">
                  <c:v>1571</c:v>
                </c:pt>
                <c:pt idx="906">
                  <c:v>1967</c:v>
                </c:pt>
                <c:pt idx="907">
                  <c:v>200</c:v>
                </c:pt>
                <c:pt idx="908">
                  <c:v>500</c:v>
                </c:pt>
                <c:pt idx="909">
                  <c:v>4140</c:v>
                </c:pt>
                <c:pt idx="910">
                  <c:v>4305</c:v>
                </c:pt>
                <c:pt idx="911">
                  <c:v>1780</c:v>
                </c:pt>
                <c:pt idx="912">
                  <c:v>500</c:v>
                </c:pt>
                <c:pt idx="913">
                  <c:v>82</c:v>
                </c:pt>
                <c:pt idx="914">
                  <c:v>9</c:v>
                </c:pt>
                <c:pt idx="915">
                  <c:v>4480</c:v>
                </c:pt>
                <c:pt idx="916">
                  <c:v>6250</c:v>
                </c:pt>
                <c:pt idx="917">
                  <c:v>1670</c:v>
                </c:pt>
                <c:pt idx="918">
                  <c:v>1138</c:v>
                </c:pt>
                <c:pt idx="919">
                  <c:v>100</c:v>
                </c:pt>
                <c:pt idx="920">
                  <c:v>850</c:v>
                </c:pt>
                <c:pt idx="921">
                  <c:v>132</c:v>
                </c:pt>
                <c:pt idx="922">
                  <c:v>260</c:v>
                </c:pt>
                <c:pt idx="923">
                  <c:v>1550</c:v>
                </c:pt>
                <c:pt idx="924">
                  <c:v>1966</c:v>
                </c:pt>
                <c:pt idx="925">
                  <c:v>1700</c:v>
                </c:pt>
                <c:pt idx="926">
                  <c:v>308</c:v>
                </c:pt>
                <c:pt idx="927">
                  <c:v>400</c:v>
                </c:pt>
                <c:pt idx="928">
                  <c:v>100</c:v>
                </c:pt>
                <c:pt idx="929">
                  <c:v>417</c:v>
                </c:pt>
                <c:pt idx="930">
                  <c:v>2388</c:v>
                </c:pt>
                <c:pt idx="931">
                  <c:v>1567</c:v>
                </c:pt>
                <c:pt idx="932">
                  <c:v>20</c:v>
                </c:pt>
                <c:pt idx="933">
                  <c:v>100</c:v>
                </c:pt>
                <c:pt idx="934">
                  <c:v>893</c:v>
                </c:pt>
                <c:pt idx="935">
                  <c:v>1935</c:v>
                </c:pt>
                <c:pt idx="936">
                  <c:v>202</c:v>
                </c:pt>
                <c:pt idx="937">
                  <c:v>1100</c:v>
                </c:pt>
                <c:pt idx="938">
                  <c:v>500</c:v>
                </c:pt>
                <c:pt idx="939">
                  <c:v>2672</c:v>
                </c:pt>
                <c:pt idx="940">
                  <c:v>350</c:v>
                </c:pt>
                <c:pt idx="941">
                  <c:v>488</c:v>
                </c:pt>
                <c:pt idx="942">
                  <c:v>131</c:v>
                </c:pt>
                <c:pt idx="943">
                  <c:v>3030</c:v>
                </c:pt>
                <c:pt idx="944">
                  <c:v>3700</c:v>
                </c:pt>
                <c:pt idx="945">
                  <c:v>1480</c:v>
                </c:pt>
                <c:pt idx="946">
                  <c:v>1080</c:v>
                </c:pt>
                <c:pt idx="947">
                  <c:v>560</c:v>
                </c:pt>
                <c:pt idx="948">
                  <c:v>102</c:v>
                </c:pt>
                <c:pt idx="949">
                  <c:v>1920</c:v>
                </c:pt>
                <c:pt idx="950">
                  <c:v>790</c:v>
                </c:pt>
                <c:pt idx="951">
                  <c:v>503</c:v>
                </c:pt>
                <c:pt idx="952">
                  <c:v>270</c:v>
                </c:pt>
                <c:pt idx="953">
                  <c:v>159</c:v>
                </c:pt>
                <c:pt idx="954">
                  <c:v>500</c:v>
                </c:pt>
                <c:pt idx="955">
                  <c:v>370</c:v>
                </c:pt>
                <c:pt idx="956">
                  <c:v>2095</c:v>
                </c:pt>
                <c:pt idx="957">
                  <c:v>1600</c:v>
                </c:pt>
                <c:pt idx="958">
                  <c:v>600</c:v>
                </c:pt>
                <c:pt idx="959">
                  <c:v>320</c:v>
                </c:pt>
                <c:pt idx="960">
                  <c:v>900</c:v>
                </c:pt>
                <c:pt idx="961">
                  <c:v>60</c:v>
                </c:pt>
                <c:pt idx="962">
                  <c:v>500</c:v>
                </c:pt>
                <c:pt idx="963">
                  <c:v>1926</c:v>
                </c:pt>
                <c:pt idx="964">
                  <c:v>26</c:v>
                </c:pt>
                <c:pt idx="965">
                  <c:v>849</c:v>
                </c:pt>
                <c:pt idx="966">
                  <c:v>1300</c:v>
                </c:pt>
                <c:pt idx="967">
                  <c:v>70</c:v>
                </c:pt>
                <c:pt idx="968">
                  <c:v>644</c:v>
                </c:pt>
                <c:pt idx="969">
                  <c:v>75</c:v>
                </c:pt>
                <c:pt idx="970">
                  <c:v>1500</c:v>
                </c:pt>
                <c:pt idx="971">
                  <c:v>1500</c:v>
                </c:pt>
                <c:pt idx="972">
                  <c:v>4438</c:v>
                </c:pt>
                <c:pt idx="973">
                  <c:v>1283</c:v>
                </c:pt>
                <c:pt idx="974">
                  <c:v>1049</c:v>
                </c:pt>
                <c:pt idx="975">
                  <c:v>464</c:v>
                </c:pt>
                <c:pt idx="976">
                  <c:v>840</c:v>
                </c:pt>
                <c:pt idx="977">
                  <c:v>415</c:v>
                </c:pt>
                <c:pt idx="978">
                  <c:v>2215</c:v>
                </c:pt>
                <c:pt idx="979">
                  <c:v>645</c:v>
                </c:pt>
                <c:pt idx="980">
                  <c:v>250</c:v>
                </c:pt>
                <c:pt idx="981">
                  <c:v>670</c:v>
                </c:pt>
                <c:pt idx="982">
                  <c:v>3000</c:v>
                </c:pt>
                <c:pt idx="983">
                  <c:v>270</c:v>
                </c:pt>
                <c:pt idx="984">
                  <c:v>896</c:v>
                </c:pt>
                <c:pt idx="985">
                  <c:v>2516</c:v>
                </c:pt>
                <c:pt idx="986">
                  <c:v>6300</c:v>
                </c:pt>
                <c:pt idx="987">
                  <c:v>3200</c:v>
                </c:pt>
                <c:pt idx="988">
                  <c:v>9663</c:v>
                </c:pt>
                <c:pt idx="989">
                  <c:v>100</c:v>
                </c:pt>
                <c:pt idx="990">
                  <c:v>1330</c:v>
                </c:pt>
                <c:pt idx="991">
                  <c:v>380</c:v>
                </c:pt>
                <c:pt idx="992">
                  <c:v>657</c:v>
                </c:pt>
                <c:pt idx="993">
                  <c:v>850</c:v>
                </c:pt>
                <c:pt idx="994">
                  <c:v>1431</c:v>
                </c:pt>
                <c:pt idx="995">
                  <c:v>525</c:v>
                </c:pt>
                <c:pt idx="996">
                  <c:v>3113</c:v>
                </c:pt>
                <c:pt idx="997">
                  <c:v>379</c:v>
                </c:pt>
                <c:pt idx="998">
                  <c:v>1960</c:v>
                </c:pt>
                <c:pt idx="999">
                  <c:v>1137</c:v>
                </c:pt>
                <c:pt idx="1000">
                  <c:v>1178</c:v>
                </c:pt>
                <c:pt idx="1001">
                  <c:v>1900</c:v>
                </c:pt>
                <c:pt idx="1002">
                  <c:v>2062</c:v>
                </c:pt>
                <c:pt idx="1003">
                  <c:v>100</c:v>
                </c:pt>
                <c:pt idx="1004">
                  <c:v>1779</c:v>
                </c:pt>
                <c:pt idx="1005">
                  <c:v>1794</c:v>
                </c:pt>
                <c:pt idx="1006">
                  <c:v>60</c:v>
                </c:pt>
                <c:pt idx="1007">
                  <c:v>150</c:v>
                </c:pt>
                <c:pt idx="1008">
                  <c:v>218</c:v>
                </c:pt>
                <c:pt idx="1009">
                  <c:v>660</c:v>
                </c:pt>
                <c:pt idx="1010">
                  <c:v>996</c:v>
                </c:pt>
                <c:pt idx="1011">
                  <c:v>1395</c:v>
                </c:pt>
                <c:pt idx="1012">
                  <c:v>845</c:v>
                </c:pt>
                <c:pt idx="1013">
                  <c:v>327</c:v>
                </c:pt>
                <c:pt idx="1014">
                  <c:v>75</c:v>
                </c:pt>
                <c:pt idx="1015">
                  <c:v>893</c:v>
                </c:pt>
                <c:pt idx="1016">
                  <c:v>587</c:v>
                </c:pt>
                <c:pt idx="1017">
                  <c:v>250</c:v>
                </c:pt>
                <c:pt idx="1018">
                  <c:v>1222</c:v>
                </c:pt>
                <c:pt idx="1019">
                  <c:v>5606</c:v>
                </c:pt>
                <c:pt idx="1020">
                  <c:v>430</c:v>
                </c:pt>
                <c:pt idx="1021">
                  <c:v>3000</c:v>
                </c:pt>
                <c:pt idx="1022">
                  <c:v>571</c:v>
                </c:pt>
                <c:pt idx="1023">
                  <c:v>568</c:v>
                </c:pt>
                <c:pt idx="1024">
                  <c:v>521</c:v>
                </c:pt>
                <c:pt idx="1025">
                  <c:v>255</c:v>
                </c:pt>
                <c:pt idx="1026">
                  <c:v>3317</c:v>
                </c:pt>
                <c:pt idx="1027">
                  <c:v>600</c:v>
                </c:pt>
                <c:pt idx="1028">
                  <c:v>100</c:v>
                </c:pt>
                <c:pt idx="1029">
                  <c:v>900</c:v>
                </c:pt>
                <c:pt idx="1030">
                  <c:v>849</c:v>
                </c:pt>
                <c:pt idx="1031">
                  <c:v>900</c:v>
                </c:pt>
                <c:pt idx="1032">
                  <c:v>300</c:v>
                </c:pt>
                <c:pt idx="1033">
                  <c:v>541</c:v>
                </c:pt>
                <c:pt idx="1034">
                  <c:v>1000</c:v>
                </c:pt>
                <c:pt idx="1035">
                  <c:v>3998</c:v>
                </c:pt>
                <c:pt idx="1036">
                  <c:v>52838</c:v>
                </c:pt>
                <c:pt idx="1037">
                  <c:v>25044</c:v>
                </c:pt>
                <c:pt idx="1038">
                  <c:v>42902</c:v>
                </c:pt>
                <c:pt idx="1039">
                  <c:v>3810</c:v>
                </c:pt>
                <c:pt idx="1040">
                  <c:v>18043</c:v>
                </c:pt>
                <c:pt idx="1041">
                  <c:v>18383</c:v>
                </c:pt>
                <c:pt idx="1042">
                  <c:v>13279</c:v>
                </c:pt>
                <c:pt idx="1043">
                  <c:v>32029</c:v>
                </c:pt>
                <c:pt idx="1044">
                  <c:v>27711</c:v>
                </c:pt>
                <c:pt idx="1045">
                  <c:v>10740</c:v>
                </c:pt>
                <c:pt idx="1046">
                  <c:v>2974</c:v>
                </c:pt>
                <c:pt idx="1047">
                  <c:v>11541</c:v>
                </c:pt>
                <c:pt idx="1048">
                  <c:v>3000</c:v>
                </c:pt>
                <c:pt idx="1049">
                  <c:v>10084</c:v>
                </c:pt>
                <c:pt idx="1050">
                  <c:v>10036</c:v>
                </c:pt>
                <c:pt idx="1051">
                  <c:v>13224</c:v>
                </c:pt>
                <c:pt idx="1052">
                  <c:v>9213</c:v>
                </c:pt>
                <c:pt idx="1053">
                  <c:v>1400</c:v>
                </c:pt>
                <c:pt idx="1054">
                  <c:v>12666</c:v>
                </c:pt>
                <c:pt idx="1055">
                  <c:v>6648</c:v>
                </c:pt>
                <c:pt idx="1056">
                  <c:v>9119</c:v>
                </c:pt>
                <c:pt idx="1057">
                  <c:v>9066</c:v>
                </c:pt>
                <c:pt idx="1058">
                  <c:v>11595</c:v>
                </c:pt>
                <c:pt idx="1059">
                  <c:v>19320</c:v>
                </c:pt>
                <c:pt idx="1060">
                  <c:v>10435</c:v>
                </c:pt>
                <c:pt idx="1061">
                  <c:v>22899</c:v>
                </c:pt>
                <c:pt idx="1062">
                  <c:v>40129</c:v>
                </c:pt>
                <c:pt idx="1063">
                  <c:v>29037</c:v>
                </c:pt>
                <c:pt idx="1064">
                  <c:v>30580</c:v>
                </c:pt>
                <c:pt idx="1065">
                  <c:v>16662</c:v>
                </c:pt>
                <c:pt idx="1066">
                  <c:v>18265</c:v>
                </c:pt>
                <c:pt idx="1067">
                  <c:v>3108</c:v>
                </c:pt>
                <c:pt idx="1068">
                  <c:v>10996</c:v>
                </c:pt>
                <c:pt idx="1069">
                  <c:v>14996</c:v>
                </c:pt>
                <c:pt idx="1070">
                  <c:v>3334</c:v>
                </c:pt>
                <c:pt idx="1071">
                  <c:v>16701</c:v>
                </c:pt>
                <c:pt idx="1072">
                  <c:v>1157</c:v>
                </c:pt>
                <c:pt idx="1073">
                  <c:v>21544</c:v>
                </c:pt>
                <c:pt idx="1074">
                  <c:v>23906</c:v>
                </c:pt>
                <c:pt idx="1075">
                  <c:v>322</c:v>
                </c:pt>
                <c:pt idx="1076">
                  <c:v>3672</c:v>
                </c:pt>
                <c:pt idx="1077">
                  <c:v>1903</c:v>
                </c:pt>
                <c:pt idx="1078">
                  <c:v>1468</c:v>
                </c:pt>
                <c:pt idx="1079">
                  <c:v>9791</c:v>
                </c:pt>
                <c:pt idx="1080">
                  <c:v>16526</c:v>
                </c:pt>
                <c:pt idx="1081">
                  <c:v>31447</c:v>
                </c:pt>
                <c:pt idx="1082">
                  <c:v>28227</c:v>
                </c:pt>
                <c:pt idx="1083">
                  <c:v>10494</c:v>
                </c:pt>
                <c:pt idx="1084">
                  <c:v>3120</c:v>
                </c:pt>
                <c:pt idx="1085">
                  <c:v>9231</c:v>
                </c:pt>
                <c:pt idx="1086">
                  <c:v>9479</c:v>
                </c:pt>
                <c:pt idx="1087">
                  <c:v>8245</c:v>
                </c:pt>
                <c:pt idx="1088">
                  <c:v>10354</c:v>
                </c:pt>
                <c:pt idx="1089">
                  <c:v>6554</c:v>
                </c:pt>
                <c:pt idx="1090">
                  <c:v>5215</c:v>
                </c:pt>
                <c:pt idx="1091">
                  <c:v>1555</c:v>
                </c:pt>
                <c:pt idx="1092">
                  <c:v>250</c:v>
                </c:pt>
                <c:pt idx="1093">
                  <c:v>620</c:v>
                </c:pt>
                <c:pt idx="1094">
                  <c:v>1235</c:v>
                </c:pt>
                <c:pt idx="1095">
                  <c:v>172</c:v>
                </c:pt>
                <c:pt idx="1096">
                  <c:v>4740</c:v>
                </c:pt>
                <c:pt idx="1097">
                  <c:v>468</c:v>
                </c:pt>
                <c:pt idx="1098">
                  <c:v>1549</c:v>
                </c:pt>
                <c:pt idx="1099">
                  <c:v>1460</c:v>
                </c:pt>
                <c:pt idx="1100">
                  <c:v>11880</c:v>
                </c:pt>
                <c:pt idx="1101">
                  <c:v>14062</c:v>
                </c:pt>
                <c:pt idx="1102">
                  <c:v>12743</c:v>
                </c:pt>
                <c:pt idx="1103">
                  <c:v>2313</c:v>
                </c:pt>
                <c:pt idx="1104">
                  <c:v>67901</c:v>
                </c:pt>
                <c:pt idx="1105">
                  <c:v>46240</c:v>
                </c:pt>
                <c:pt idx="1106">
                  <c:v>16227</c:v>
                </c:pt>
                <c:pt idx="1107">
                  <c:v>16519</c:v>
                </c:pt>
                <c:pt idx="1108">
                  <c:v>6477</c:v>
                </c:pt>
                <c:pt idx="1109">
                  <c:v>8205</c:v>
                </c:pt>
                <c:pt idx="1110">
                  <c:v>7500</c:v>
                </c:pt>
                <c:pt idx="1111">
                  <c:v>1600</c:v>
                </c:pt>
                <c:pt idx="1112">
                  <c:v>758</c:v>
                </c:pt>
                <c:pt idx="1113">
                  <c:v>50</c:v>
                </c:pt>
                <c:pt idx="1114">
                  <c:v>75</c:v>
                </c:pt>
                <c:pt idx="1115">
                  <c:v>1326</c:v>
                </c:pt>
                <c:pt idx="1116">
                  <c:v>3184</c:v>
                </c:pt>
                <c:pt idx="1117">
                  <c:v>11232</c:v>
                </c:pt>
                <c:pt idx="1118">
                  <c:v>3315</c:v>
                </c:pt>
                <c:pt idx="1119">
                  <c:v>2548</c:v>
                </c:pt>
                <c:pt idx="1120">
                  <c:v>685</c:v>
                </c:pt>
                <c:pt idx="1121">
                  <c:v>4673</c:v>
                </c:pt>
                <c:pt idx="1122">
                  <c:v>1180</c:v>
                </c:pt>
                <c:pt idx="1123">
                  <c:v>15619</c:v>
                </c:pt>
                <c:pt idx="1124">
                  <c:v>9721</c:v>
                </c:pt>
                <c:pt idx="1125">
                  <c:v>35866</c:v>
                </c:pt>
                <c:pt idx="1126">
                  <c:v>11545</c:v>
                </c:pt>
                <c:pt idx="1127">
                  <c:v>3305</c:v>
                </c:pt>
                <c:pt idx="1128">
                  <c:v>4480</c:v>
                </c:pt>
                <c:pt idx="1129">
                  <c:v>15324</c:v>
                </c:pt>
                <c:pt idx="1130">
                  <c:v>19463</c:v>
                </c:pt>
                <c:pt idx="1131">
                  <c:v>9475</c:v>
                </c:pt>
                <c:pt idx="1132">
                  <c:v>11607</c:v>
                </c:pt>
                <c:pt idx="1133">
                  <c:v>17841</c:v>
                </c:pt>
                <c:pt idx="1134">
                  <c:v>26320</c:v>
                </c:pt>
                <c:pt idx="1135">
                  <c:v>42275</c:v>
                </c:pt>
                <c:pt idx="1136">
                  <c:v>46368</c:v>
                </c:pt>
                <c:pt idx="1137">
                  <c:v>63774</c:v>
                </c:pt>
                <c:pt idx="1138">
                  <c:v>52581</c:v>
                </c:pt>
                <c:pt idx="1139">
                  <c:v>31434</c:v>
                </c:pt>
                <c:pt idx="1140">
                  <c:v>17979</c:v>
                </c:pt>
                <c:pt idx="1141">
                  <c:v>15835</c:v>
                </c:pt>
                <c:pt idx="1142">
                  <c:v>15798</c:v>
                </c:pt>
                <c:pt idx="1143">
                  <c:v>17601</c:v>
                </c:pt>
                <c:pt idx="1144">
                  <c:v>6730</c:v>
                </c:pt>
                <c:pt idx="1145">
                  <c:v>7896</c:v>
                </c:pt>
                <c:pt idx="1146">
                  <c:v>3520</c:v>
                </c:pt>
                <c:pt idx="1147">
                  <c:v>2899</c:v>
                </c:pt>
                <c:pt idx="1148">
                  <c:v>11327</c:v>
                </c:pt>
                <c:pt idx="1149">
                  <c:v>36519</c:v>
                </c:pt>
                <c:pt idx="1150">
                  <c:v>16018</c:v>
                </c:pt>
                <c:pt idx="1151">
                  <c:v>5044</c:v>
                </c:pt>
                <c:pt idx="1152">
                  <c:v>3103</c:v>
                </c:pt>
                <c:pt idx="1153">
                  <c:v>29980</c:v>
                </c:pt>
                <c:pt idx="1154">
                  <c:v>16776</c:v>
                </c:pt>
                <c:pt idx="1155">
                  <c:v>17649</c:v>
                </c:pt>
                <c:pt idx="1156">
                  <c:v>4881</c:v>
                </c:pt>
                <c:pt idx="1157">
                  <c:v>5632</c:v>
                </c:pt>
                <c:pt idx="1158">
                  <c:v>10406</c:v>
                </c:pt>
                <c:pt idx="1159">
                  <c:v>49863</c:v>
                </c:pt>
                <c:pt idx="1160">
                  <c:v>23582</c:v>
                </c:pt>
                <c:pt idx="1161">
                  <c:v>47766</c:v>
                </c:pt>
                <c:pt idx="1162">
                  <c:v>17576</c:v>
                </c:pt>
                <c:pt idx="1163">
                  <c:v>66172</c:v>
                </c:pt>
                <c:pt idx="1164">
                  <c:v>17222</c:v>
                </c:pt>
                <c:pt idx="1165">
                  <c:v>17901</c:v>
                </c:pt>
                <c:pt idx="1166">
                  <c:v>15655</c:v>
                </c:pt>
                <c:pt idx="1167">
                  <c:v>14426</c:v>
                </c:pt>
                <c:pt idx="1168">
                  <c:v>13091</c:v>
                </c:pt>
                <c:pt idx="1169">
                  <c:v>14046</c:v>
                </c:pt>
                <c:pt idx="1170">
                  <c:v>11916</c:v>
                </c:pt>
                <c:pt idx="1171">
                  <c:v>7869</c:v>
                </c:pt>
                <c:pt idx="1172">
                  <c:v>4371</c:v>
                </c:pt>
                <c:pt idx="1173">
                  <c:v>6269</c:v>
                </c:pt>
                <c:pt idx="1174">
                  <c:v>7586</c:v>
                </c:pt>
                <c:pt idx="1175">
                  <c:v>4485</c:v>
                </c:pt>
                <c:pt idx="1176">
                  <c:v>1383</c:v>
                </c:pt>
                <c:pt idx="1177">
                  <c:v>10940</c:v>
                </c:pt>
                <c:pt idx="1178">
                  <c:v>11797</c:v>
                </c:pt>
                <c:pt idx="1179">
                  <c:v>2180</c:v>
                </c:pt>
                <c:pt idx="1180">
                  <c:v>13410</c:v>
                </c:pt>
                <c:pt idx="1181">
                  <c:v>3555</c:v>
                </c:pt>
                <c:pt idx="1182">
                  <c:v>6640</c:v>
                </c:pt>
                <c:pt idx="1183">
                  <c:v>8523</c:v>
                </c:pt>
                <c:pt idx="1184">
                  <c:v>6636</c:v>
                </c:pt>
                <c:pt idx="1185">
                  <c:v>14007</c:v>
                </c:pt>
                <c:pt idx="1186">
                  <c:v>6188</c:v>
                </c:pt>
                <c:pt idx="1187">
                  <c:v>7944</c:v>
                </c:pt>
                <c:pt idx="1188">
                  <c:v>6570</c:v>
                </c:pt>
                <c:pt idx="1189">
                  <c:v>3735</c:v>
                </c:pt>
                <c:pt idx="1190">
                  <c:v>11141</c:v>
                </c:pt>
                <c:pt idx="1191">
                  <c:v>11793</c:v>
                </c:pt>
                <c:pt idx="1192">
                  <c:v>11350</c:v>
                </c:pt>
                <c:pt idx="1193">
                  <c:v>18866</c:v>
                </c:pt>
                <c:pt idx="1194">
                  <c:v>8596</c:v>
                </c:pt>
                <c:pt idx="1195">
                  <c:v>10687</c:v>
                </c:pt>
                <c:pt idx="1196">
                  <c:v>21848</c:v>
                </c:pt>
                <c:pt idx="1197">
                  <c:v>57572</c:v>
                </c:pt>
                <c:pt idx="1198">
                  <c:v>27152</c:v>
                </c:pt>
                <c:pt idx="1199">
                  <c:v>34654</c:v>
                </c:pt>
                <c:pt idx="1200">
                  <c:v>17167</c:v>
                </c:pt>
                <c:pt idx="1201">
                  <c:v>8745</c:v>
                </c:pt>
                <c:pt idx="1202">
                  <c:v>12275</c:v>
                </c:pt>
                <c:pt idx="1203">
                  <c:v>9252</c:v>
                </c:pt>
                <c:pt idx="1204">
                  <c:v>12956</c:v>
                </c:pt>
                <c:pt idx="1205">
                  <c:v>8165</c:v>
                </c:pt>
                <c:pt idx="1206">
                  <c:v>6329</c:v>
                </c:pt>
                <c:pt idx="1207">
                  <c:v>1116</c:v>
                </c:pt>
                <c:pt idx="1208">
                  <c:v>11532</c:v>
                </c:pt>
                <c:pt idx="1209">
                  <c:v>3609</c:v>
                </c:pt>
                <c:pt idx="1210">
                  <c:v>5777</c:v>
                </c:pt>
                <c:pt idx="1211">
                  <c:v>3100</c:v>
                </c:pt>
                <c:pt idx="1212">
                  <c:v>3643</c:v>
                </c:pt>
                <c:pt idx="1213">
                  <c:v>2314</c:v>
                </c:pt>
                <c:pt idx="1214">
                  <c:v>1559</c:v>
                </c:pt>
                <c:pt idx="1215">
                  <c:v>13077</c:v>
                </c:pt>
                <c:pt idx="1216">
                  <c:v>16314</c:v>
                </c:pt>
                <c:pt idx="1217">
                  <c:v>44768</c:v>
                </c:pt>
                <c:pt idx="1218">
                  <c:v>103194</c:v>
                </c:pt>
                <c:pt idx="1219">
                  <c:v>12830</c:v>
                </c:pt>
                <c:pt idx="1220">
                  <c:v>35469</c:v>
                </c:pt>
                <c:pt idx="1221">
                  <c:v>6638</c:v>
                </c:pt>
                <c:pt idx="1222">
                  <c:v>11181</c:v>
                </c:pt>
                <c:pt idx="1223">
                  <c:v>9913</c:v>
                </c:pt>
                <c:pt idx="1224">
                  <c:v>5769</c:v>
                </c:pt>
                <c:pt idx="1225">
                  <c:v>8404</c:v>
                </c:pt>
                <c:pt idx="1226">
                  <c:v>22514</c:v>
                </c:pt>
                <c:pt idx="1227">
                  <c:v>5186</c:v>
                </c:pt>
                <c:pt idx="1228">
                  <c:v>6910</c:v>
                </c:pt>
                <c:pt idx="1229">
                  <c:v>2467</c:v>
                </c:pt>
                <c:pt idx="1230">
                  <c:v>6628</c:v>
                </c:pt>
                <c:pt idx="1231">
                  <c:v>4530</c:v>
                </c:pt>
                <c:pt idx="1232">
                  <c:v>8675</c:v>
                </c:pt>
                <c:pt idx="1233">
                  <c:v>7465</c:v>
                </c:pt>
                <c:pt idx="1234">
                  <c:v>6782</c:v>
                </c:pt>
                <c:pt idx="1235">
                  <c:v>9715</c:v>
                </c:pt>
                <c:pt idx="1236">
                  <c:v>5137</c:v>
                </c:pt>
                <c:pt idx="1237">
                  <c:v>2485</c:v>
                </c:pt>
                <c:pt idx="1238">
                  <c:v>4321</c:v>
                </c:pt>
                <c:pt idx="1239">
                  <c:v>3874</c:v>
                </c:pt>
                <c:pt idx="1240">
                  <c:v>4134</c:v>
                </c:pt>
                <c:pt idx="1241">
                  <c:v>22217</c:v>
                </c:pt>
                <c:pt idx="1242">
                  <c:v>9922</c:v>
                </c:pt>
                <c:pt idx="1243">
                  <c:v>7362</c:v>
                </c:pt>
                <c:pt idx="1244">
                  <c:v>12528</c:v>
                </c:pt>
                <c:pt idx="1245">
                  <c:v>5623</c:v>
                </c:pt>
                <c:pt idx="1246">
                  <c:v>9060</c:v>
                </c:pt>
                <c:pt idx="1247">
                  <c:v>6233</c:v>
                </c:pt>
                <c:pt idx="1248">
                  <c:v>3300</c:v>
                </c:pt>
                <c:pt idx="1249">
                  <c:v>6347</c:v>
                </c:pt>
                <c:pt idx="1250">
                  <c:v>290</c:v>
                </c:pt>
                <c:pt idx="1251">
                  <c:v>6264</c:v>
                </c:pt>
                <c:pt idx="1252">
                  <c:v>3512</c:v>
                </c:pt>
                <c:pt idx="125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8-4C68-B58D-5228DC4E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635408"/>
        <c:axId val="1627654992"/>
      </c:barChart>
      <c:lineChart>
        <c:grouping val="standard"/>
        <c:varyColors val="0"/>
        <c:ser>
          <c:idx val="0"/>
          <c:order val="0"/>
          <c:tx>
            <c:strRef>
              <c:f>Stock!$B$10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Stock!$A$1052:$A$2305</c:f>
              <c:strCache>
                <c:ptCount val="1254"/>
                <c:pt idx="0">
                  <c:v>2012-01-02</c:v>
                </c:pt>
                <c:pt idx="1">
                  <c:v>2012-01-03</c:v>
                </c:pt>
                <c:pt idx="2">
                  <c:v>2012-01-04</c:v>
                </c:pt>
                <c:pt idx="3">
                  <c:v>2012-01-05</c:v>
                </c:pt>
                <c:pt idx="4">
                  <c:v>2012-01-09</c:v>
                </c:pt>
                <c:pt idx="5">
                  <c:v>2012-01-10</c:v>
                </c:pt>
                <c:pt idx="6">
                  <c:v>2012-01-11</c:v>
                </c:pt>
                <c:pt idx="7">
                  <c:v>2012-01-12</c:v>
                </c:pt>
                <c:pt idx="8">
                  <c:v>2012-01-16</c:v>
                </c:pt>
                <c:pt idx="9">
                  <c:v>2012-01-17</c:v>
                </c:pt>
                <c:pt idx="10">
                  <c:v>2012-01-18</c:v>
                </c:pt>
                <c:pt idx="11">
                  <c:v>2012-01-19</c:v>
                </c:pt>
                <c:pt idx="12">
                  <c:v>2012-01-22</c:v>
                </c:pt>
                <c:pt idx="13">
                  <c:v>2012-01-23</c:v>
                </c:pt>
                <c:pt idx="14">
                  <c:v>2012-01-24</c:v>
                </c:pt>
                <c:pt idx="15">
                  <c:v>2012-01-26</c:v>
                </c:pt>
                <c:pt idx="16">
                  <c:v>2012-01-29</c:v>
                </c:pt>
                <c:pt idx="17">
                  <c:v>2012-01-30</c:v>
                </c:pt>
                <c:pt idx="18">
                  <c:v>2012-01-31</c:v>
                </c:pt>
                <c:pt idx="19">
                  <c:v>2012-02-01</c:v>
                </c:pt>
                <c:pt idx="20">
                  <c:v>2012-02-02</c:v>
                </c:pt>
                <c:pt idx="21">
                  <c:v>2012-02-06</c:v>
                </c:pt>
                <c:pt idx="22">
                  <c:v>2012-02-07</c:v>
                </c:pt>
                <c:pt idx="23">
                  <c:v>2012-02-08</c:v>
                </c:pt>
                <c:pt idx="24">
                  <c:v>2012-02-09</c:v>
                </c:pt>
                <c:pt idx="25">
                  <c:v>2012-02-13</c:v>
                </c:pt>
                <c:pt idx="26">
                  <c:v>2012-02-14</c:v>
                </c:pt>
                <c:pt idx="27">
                  <c:v>2012-02-15</c:v>
                </c:pt>
                <c:pt idx="28">
                  <c:v>2012-02-16</c:v>
                </c:pt>
                <c:pt idx="29">
                  <c:v>2012-02-19</c:v>
                </c:pt>
                <c:pt idx="30">
                  <c:v>2012-02-20</c:v>
                </c:pt>
                <c:pt idx="31">
                  <c:v>2012-02-21</c:v>
                </c:pt>
                <c:pt idx="32">
                  <c:v>2012-02-22</c:v>
                </c:pt>
                <c:pt idx="33">
                  <c:v>2012-02-23</c:v>
                </c:pt>
                <c:pt idx="34">
                  <c:v>2012-02-27</c:v>
                </c:pt>
                <c:pt idx="35">
                  <c:v>2012-02-28</c:v>
                </c:pt>
                <c:pt idx="36">
                  <c:v>2012-02-29</c:v>
                </c:pt>
                <c:pt idx="37">
                  <c:v>2012-03-01</c:v>
                </c:pt>
                <c:pt idx="38">
                  <c:v>2012-03-04</c:v>
                </c:pt>
                <c:pt idx="39">
                  <c:v>2012-03-05</c:v>
                </c:pt>
                <c:pt idx="40">
                  <c:v>2012-03-06</c:v>
                </c:pt>
                <c:pt idx="41">
                  <c:v>2012-03-07</c:v>
                </c:pt>
                <c:pt idx="42">
                  <c:v>2012-03-08</c:v>
                </c:pt>
                <c:pt idx="43">
                  <c:v>2012-03-11</c:v>
                </c:pt>
                <c:pt idx="44">
                  <c:v>2012-03-12</c:v>
                </c:pt>
                <c:pt idx="45">
                  <c:v>2012-03-13</c:v>
                </c:pt>
                <c:pt idx="46">
                  <c:v>2012-03-14</c:v>
                </c:pt>
                <c:pt idx="47">
                  <c:v>2012-03-15</c:v>
                </c:pt>
                <c:pt idx="48">
                  <c:v>2012-03-18</c:v>
                </c:pt>
                <c:pt idx="49">
                  <c:v>2012-03-19</c:v>
                </c:pt>
                <c:pt idx="50">
                  <c:v>2012-03-20</c:v>
                </c:pt>
                <c:pt idx="51">
                  <c:v>2012-03-21</c:v>
                </c:pt>
                <c:pt idx="52">
                  <c:v>2012-03-22</c:v>
                </c:pt>
                <c:pt idx="53">
                  <c:v>2012-03-25</c:v>
                </c:pt>
                <c:pt idx="54">
                  <c:v>2012-03-26</c:v>
                </c:pt>
                <c:pt idx="55">
                  <c:v>2012-03-27</c:v>
                </c:pt>
                <c:pt idx="56">
                  <c:v>2012-03-28</c:v>
                </c:pt>
                <c:pt idx="57">
                  <c:v>2012-03-29</c:v>
                </c:pt>
                <c:pt idx="58">
                  <c:v>2012-04-01</c:v>
                </c:pt>
                <c:pt idx="59">
                  <c:v>2012-04-03</c:v>
                </c:pt>
                <c:pt idx="60">
                  <c:v>2012-04-04</c:v>
                </c:pt>
                <c:pt idx="61">
                  <c:v>2012-04-05</c:v>
                </c:pt>
                <c:pt idx="62">
                  <c:v>2012-04-08</c:v>
                </c:pt>
                <c:pt idx="63">
                  <c:v>2012-04-09</c:v>
                </c:pt>
                <c:pt idx="64">
                  <c:v>2012-04-10</c:v>
                </c:pt>
                <c:pt idx="65">
                  <c:v>2012-04-11</c:v>
                </c:pt>
                <c:pt idx="66">
                  <c:v>2012-04-12</c:v>
                </c:pt>
                <c:pt idx="67">
                  <c:v>2012-04-17</c:v>
                </c:pt>
                <c:pt idx="68">
                  <c:v>2012-04-18</c:v>
                </c:pt>
                <c:pt idx="69">
                  <c:v>2012-04-19</c:v>
                </c:pt>
                <c:pt idx="70">
                  <c:v>2012-04-22</c:v>
                </c:pt>
                <c:pt idx="71">
                  <c:v>2012-04-23</c:v>
                </c:pt>
                <c:pt idx="72">
                  <c:v>2012-04-24</c:v>
                </c:pt>
                <c:pt idx="73">
                  <c:v>2012-04-26</c:v>
                </c:pt>
                <c:pt idx="74">
                  <c:v>2012-04-29</c:v>
                </c:pt>
                <c:pt idx="75">
                  <c:v>2012-04-30</c:v>
                </c:pt>
                <c:pt idx="76">
                  <c:v>2012-05-02</c:v>
                </c:pt>
                <c:pt idx="77">
                  <c:v>2012-05-03</c:v>
                </c:pt>
                <c:pt idx="78">
                  <c:v>2012-05-06</c:v>
                </c:pt>
                <c:pt idx="79">
                  <c:v>2012-05-07</c:v>
                </c:pt>
                <c:pt idx="80">
                  <c:v>2012-05-08</c:v>
                </c:pt>
                <c:pt idx="81">
                  <c:v>2012-05-09</c:v>
                </c:pt>
                <c:pt idx="82">
                  <c:v>2012-05-10</c:v>
                </c:pt>
                <c:pt idx="83">
                  <c:v>2012-05-15</c:v>
                </c:pt>
                <c:pt idx="84">
                  <c:v>2012-05-16</c:v>
                </c:pt>
                <c:pt idx="85">
                  <c:v>2012-05-17</c:v>
                </c:pt>
                <c:pt idx="86">
                  <c:v>2012-05-20</c:v>
                </c:pt>
                <c:pt idx="87">
                  <c:v>2012-05-21</c:v>
                </c:pt>
                <c:pt idx="88">
                  <c:v>2012-05-22</c:v>
                </c:pt>
                <c:pt idx="89">
                  <c:v>2012-05-23</c:v>
                </c:pt>
                <c:pt idx="90">
                  <c:v>2012-05-24</c:v>
                </c:pt>
                <c:pt idx="91">
                  <c:v>2012-05-27</c:v>
                </c:pt>
                <c:pt idx="92">
                  <c:v>2012-05-28</c:v>
                </c:pt>
                <c:pt idx="93">
                  <c:v>2012-05-29</c:v>
                </c:pt>
                <c:pt idx="94">
                  <c:v>2012-05-30</c:v>
                </c:pt>
                <c:pt idx="95">
                  <c:v>2012-06-03</c:v>
                </c:pt>
                <c:pt idx="96">
                  <c:v>2012-06-04</c:v>
                </c:pt>
                <c:pt idx="97">
                  <c:v>2012-06-05</c:v>
                </c:pt>
                <c:pt idx="98">
                  <c:v>2012-06-06</c:v>
                </c:pt>
                <c:pt idx="99">
                  <c:v>2012-06-07</c:v>
                </c:pt>
                <c:pt idx="100">
                  <c:v>2012-06-10</c:v>
                </c:pt>
                <c:pt idx="101">
                  <c:v>2012-06-26</c:v>
                </c:pt>
                <c:pt idx="102">
                  <c:v>2012-06-27</c:v>
                </c:pt>
                <c:pt idx="103">
                  <c:v>2012-06-28</c:v>
                </c:pt>
                <c:pt idx="104">
                  <c:v>2012-07-02</c:v>
                </c:pt>
                <c:pt idx="105">
                  <c:v>2012-07-03</c:v>
                </c:pt>
                <c:pt idx="106">
                  <c:v>2012-07-04</c:v>
                </c:pt>
                <c:pt idx="107">
                  <c:v>2012-07-05</c:v>
                </c:pt>
                <c:pt idx="108">
                  <c:v>2012-07-08</c:v>
                </c:pt>
                <c:pt idx="109">
                  <c:v>2012-07-09</c:v>
                </c:pt>
                <c:pt idx="110">
                  <c:v>2012-07-10</c:v>
                </c:pt>
                <c:pt idx="111">
                  <c:v>2012-07-11</c:v>
                </c:pt>
                <c:pt idx="112">
                  <c:v>2012-07-12</c:v>
                </c:pt>
                <c:pt idx="113">
                  <c:v>2012-07-16</c:v>
                </c:pt>
                <c:pt idx="114">
                  <c:v>2012-07-17</c:v>
                </c:pt>
                <c:pt idx="115">
                  <c:v>2012-07-18</c:v>
                </c:pt>
                <c:pt idx="116">
                  <c:v>2012-07-19</c:v>
                </c:pt>
                <c:pt idx="117">
                  <c:v>2012-07-24</c:v>
                </c:pt>
                <c:pt idx="118">
                  <c:v>2012-07-25</c:v>
                </c:pt>
                <c:pt idx="119">
                  <c:v>2012-07-26</c:v>
                </c:pt>
                <c:pt idx="120">
                  <c:v>2012-07-30</c:v>
                </c:pt>
                <c:pt idx="121">
                  <c:v>2012-08-01</c:v>
                </c:pt>
                <c:pt idx="122">
                  <c:v>2012-08-02</c:v>
                </c:pt>
                <c:pt idx="123">
                  <c:v>2012-08-05</c:v>
                </c:pt>
                <c:pt idx="124">
                  <c:v>2012-08-06</c:v>
                </c:pt>
                <c:pt idx="125">
                  <c:v>2012-08-07</c:v>
                </c:pt>
                <c:pt idx="126">
                  <c:v>2012-08-08</c:v>
                </c:pt>
                <c:pt idx="127">
                  <c:v>2012-08-09</c:v>
                </c:pt>
                <c:pt idx="128">
                  <c:v>2012-08-12</c:v>
                </c:pt>
                <c:pt idx="129">
                  <c:v>2012-08-13</c:v>
                </c:pt>
                <c:pt idx="130">
                  <c:v>2012-08-14</c:v>
                </c:pt>
                <c:pt idx="131">
                  <c:v>2012-08-16</c:v>
                </c:pt>
                <c:pt idx="132">
                  <c:v>2012-08-21</c:v>
                </c:pt>
                <c:pt idx="133">
                  <c:v>2012-08-22</c:v>
                </c:pt>
                <c:pt idx="134">
                  <c:v>2012-08-23</c:v>
                </c:pt>
                <c:pt idx="135">
                  <c:v>2012-08-26</c:v>
                </c:pt>
                <c:pt idx="136">
                  <c:v>2012-08-27</c:v>
                </c:pt>
                <c:pt idx="137">
                  <c:v>2012-08-28</c:v>
                </c:pt>
                <c:pt idx="138">
                  <c:v>2012-08-29</c:v>
                </c:pt>
                <c:pt idx="139">
                  <c:v>2012-08-30</c:v>
                </c:pt>
                <c:pt idx="140">
                  <c:v>2012-09-02</c:v>
                </c:pt>
                <c:pt idx="141">
                  <c:v>2012-09-03</c:v>
                </c:pt>
                <c:pt idx="142">
                  <c:v>2012-09-04</c:v>
                </c:pt>
                <c:pt idx="143">
                  <c:v>2012-09-05</c:v>
                </c:pt>
                <c:pt idx="144">
                  <c:v>2012-09-06</c:v>
                </c:pt>
                <c:pt idx="145">
                  <c:v>2012-09-09</c:v>
                </c:pt>
                <c:pt idx="146">
                  <c:v>2012-09-10</c:v>
                </c:pt>
                <c:pt idx="147">
                  <c:v>2012-09-11</c:v>
                </c:pt>
                <c:pt idx="148">
                  <c:v>2012-09-12</c:v>
                </c:pt>
                <c:pt idx="149">
                  <c:v>2012-09-13</c:v>
                </c:pt>
                <c:pt idx="150">
                  <c:v>2012-09-16</c:v>
                </c:pt>
                <c:pt idx="151">
                  <c:v>2012-09-17</c:v>
                </c:pt>
                <c:pt idx="152">
                  <c:v>2012-09-18</c:v>
                </c:pt>
                <c:pt idx="153">
                  <c:v>2012-09-19</c:v>
                </c:pt>
                <c:pt idx="154">
                  <c:v>2012-09-20</c:v>
                </c:pt>
                <c:pt idx="155">
                  <c:v>2012-09-23</c:v>
                </c:pt>
                <c:pt idx="156">
                  <c:v>2012-09-24</c:v>
                </c:pt>
                <c:pt idx="157">
                  <c:v>2012-09-25</c:v>
                </c:pt>
                <c:pt idx="158">
                  <c:v>2012-09-26</c:v>
                </c:pt>
                <c:pt idx="159">
                  <c:v>2012-09-27</c:v>
                </c:pt>
                <c:pt idx="160">
                  <c:v>2012-09-30</c:v>
                </c:pt>
                <c:pt idx="161">
                  <c:v>2012-10-01</c:v>
                </c:pt>
                <c:pt idx="162">
                  <c:v>2012-10-02</c:v>
                </c:pt>
                <c:pt idx="163">
                  <c:v>2012-10-03</c:v>
                </c:pt>
                <c:pt idx="164">
                  <c:v>2012-10-04</c:v>
                </c:pt>
                <c:pt idx="165">
                  <c:v>2012-10-08</c:v>
                </c:pt>
                <c:pt idx="166">
                  <c:v>2012-10-09</c:v>
                </c:pt>
                <c:pt idx="167">
                  <c:v>2012-10-10</c:v>
                </c:pt>
                <c:pt idx="168">
                  <c:v>2012-10-11</c:v>
                </c:pt>
                <c:pt idx="169">
                  <c:v>2012-10-14</c:v>
                </c:pt>
                <c:pt idx="170">
                  <c:v>2012-10-15</c:v>
                </c:pt>
                <c:pt idx="171">
                  <c:v>2012-10-16</c:v>
                </c:pt>
                <c:pt idx="172">
                  <c:v>2012-10-17</c:v>
                </c:pt>
                <c:pt idx="173">
                  <c:v>2012-10-18</c:v>
                </c:pt>
                <c:pt idx="174">
                  <c:v>2012-10-21</c:v>
                </c:pt>
                <c:pt idx="175">
                  <c:v>2012-10-22</c:v>
                </c:pt>
                <c:pt idx="176">
                  <c:v>2012-10-23</c:v>
                </c:pt>
                <c:pt idx="177">
                  <c:v>2012-10-24</c:v>
                </c:pt>
                <c:pt idx="178">
                  <c:v>2012-10-29</c:v>
                </c:pt>
                <c:pt idx="179">
                  <c:v>2012-10-30</c:v>
                </c:pt>
                <c:pt idx="180">
                  <c:v>2012-10-31</c:v>
                </c:pt>
                <c:pt idx="181">
                  <c:v>2012-11-01</c:v>
                </c:pt>
                <c:pt idx="182">
                  <c:v>2012-11-04</c:v>
                </c:pt>
                <c:pt idx="183">
                  <c:v>2012-11-05</c:v>
                </c:pt>
                <c:pt idx="184">
                  <c:v>2012-11-06</c:v>
                </c:pt>
                <c:pt idx="185">
                  <c:v>2012-11-07</c:v>
                </c:pt>
                <c:pt idx="186">
                  <c:v>2012-11-08</c:v>
                </c:pt>
                <c:pt idx="187">
                  <c:v>2012-11-11</c:v>
                </c:pt>
                <c:pt idx="188">
                  <c:v>2012-11-12</c:v>
                </c:pt>
                <c:pt idx="189">
                  <c:v>2012-11-13</c:v>
                </c:pt>
                <c:pt idx="190">
                  <c:v>2012-11-14</c:v>
                </c:pt>
                <c:pt idx="191">
                  <c:v>2012-11-18</c:v>
                </c:pt>
                <c:pt idx="192">
                  <c:v>2012-11-19</c:v>
                </c:pt>
                <c:pt idx="193">
                  <c:v>2012-11-20</c:v>
                </c:pt>
                <c:pt idx="194">
                  <c:v>2012-11-21</c:v>
                </c:pt>
                <c:pt idx="195">
                  <c:v>2012-11-22</c:v>
                </c:pt>
                <c:pt idx="196">
                  <c:v>2012-11-25</c:v>
                </c:pt>
                <c:pt idx="197">
                  <c:v>2012-11-26</c:v>
                </c:pt>
                <c:pt idx="198">
                  <c:v>2012-11-27</c:v>
                </c:pt>
                <c:pt idx="199">
                  <c:v>2012-11-28</c:v>
                </c:pt>
                <c:pt idx="200">
                  <c:v>2012-11-29</c:v>
                </c:pt>
                <c:pt idx="201">
                  <c:v>2012-12-02</c:v>
                </c:pt>
                <c:pt idx="202">
                  <c:v>2012-12-03</c:v>
                </c:pt>
                <c:pt idx="203">
                  <c:v>2012-12-04</c:v>
                </c:pt>
                <c:pt idx="204">
                  <c:v>2012-12-05</c:v>
                </c:pt>
                <c:pt idx="205">
                  <c:v>2012-12-06</c:v>
                </c:pt>
                <c:pt idx="206">
                  <c:v>2012-12-10</c:v>
                </c:pt>
                <c:pt idx="207">
                  <c:v>2012-12-11</c:v>
                </c:pt>
                <c:pt idx="208">
                  <c:v>2012-12-16</c:v>
                </c:pt>
                <c:pt idx="209">
                  <c:v>2012-12-17</c:v>
                </c:pt>
                <c:pt idx="210">
                  <c:v>2012-12-18</c:v>
                </c:pt>
                <c:pt idx="211">
                  <c:v>2012-12-19</c:v>
                </c:pt>
                <c:pt idx="212">
                  <c:v>2012-12-20</c:v>
                </c:pt>
                <c:pt idx="213">
                  <c:v>2012-12-23</c:v>
                </c:pt>
                <c:pt idx="214">
                  <c:v>2012-12-24</c:v>
                </c:pt>
                <c:pt idx="215">
                  <c:v>2012-12-25</c:v>
                </c:pt>
                <c:pt idx="216">
                  <c:v>2012-12-26</c:v>
                </c:pt>
                <c:pt idx="217">
                  <c:v>2012-12-27</c:v>
                </c:pt>
                <c:pt idx="218">
                  <c:v>2012-12-30</c:v>
                </c:pt>
                <c:pt idx="219">
                  <c:v>2012-12-31</c:v>
                </c:pt>
                <c:pt idx="220">
                  <c:v>2013-01-02</c:v>
                </c:pt>
                <c:pt idx="221">
                  <c:v>2013-01-03</c:v>
                </c:pt>
                <c:pt idx="222">
                  <c:v>2013-01-06</c:v>
                </c:pt>
                <c:pt idx="223">
                  <c:v>2013-01-08</c:v>
                </c:pt>
                <c:pt idx="224">
                  <c:v>2013-01-09</c:v>
                </c:pt>
                <c:pt idx="225">
                  <c:v>2013-01-10</c:v>
                </c:pt>
                <c:pt idx="226">
                  <c:v>2013-01-13</c:v>
                </c:pt>
                <c:pt idx="227">
                  <c:v>2013-01-14</c:v>
                </c:pt>
                <c:pt idx="228">
                  <c:v>2013-01-15</c:v>
                </c:pt>
                <c:pt idx="229">
                  <c:v>2013-01-16</c:v>
                </c:pt>
                <c:pt idx="230">
                  <c:v>2013-01-17</c:v>
                </c:pt>
                <c:pt idx="231">
                  <c:v>2013-01-20</c:v>
                </c:pt>
                <c:pt idx="232">
                  <c:v>2013-01-21</c:v>
                </c:pt>
                <c:pt idx="233">
                  <c:v>2013-01-22</c:v>
                </c:pt>
                <c:pt idx="234">
                  <c:v>2013-01-23</c:v>
                </c:pt>
                <c:pt idx="235">
                  <c:v>2013-01-27</c:v>
                </c:pt>
                <c:pt idx="236">
                  <c:v>2013-01-28</c:v>
                </c:pt>
                <c:pt idx="237">
                  <c:v>2013-01-29</c:v>
                </c:pt>
                <c:pt idx="238">
                  <c:v>2013-01-30</c:v>
                </c:pt>
                <c:pt idx="239">
                  <c:v>2013-01-31</c:v>
                </c:pt>
                <c:pt idx="240">
                  <c:v>2013-02-03</c:v>
                </c:pt>
                <c:pt idx="241">
                  <c:v>2013-02-04</c:v>
                </c:pt>
                <c:pt idx="242">
                  <c:v>2013-02-05</c:v>
                </c:pt>
                <c:pt idx="243">
                  <c:v>2013-02-06</c:v>
                </c:pt>
                <c:pt idx="244">
                  <c:v>2013-02-07</c:v>
                </c:pt>
                <c:pt idx="245">
                  <c:v>2013-02-10</c:v>
                </c:pt>
                <c:pt idx="246">
                  <c:v>2013-02-11</c:v>
                </c:pt>
                <c:pt idx="247">
                  <c:v>2013-02-12</c:v>
                </c:pt>
                <c:pt idx="248">
                  <c:v>2013-02-13</c:v>
                </c:pt>
                <c:pt idx="249">
                  <c:v>2013-02-14</c:v>
                </c:pt>
                <c:pt idx="250">
                  <c:v>2013-02-17</c:v>
                </c:pt>
                <c:pt idx="251">
                  <c:v>2013-02-18</c:v>
                </c:pt>
                <c:pt idx="252">
                  <c:v>2013-02-19</c:v>
                </c:pt>
                <c:pt idx="253">
                  <c:v>2013-02-20</c:v>
                </c:pt>
                <c:pt idx="254">
                  <c:v>2013-02-21</c:v>
                </c:pt>
                <c:pt idx="255">
                  <c:v>2013-02-24</c:v>
                </c:pt>
                <c:pt idx="256">
                  <c:v>2013-02-25</c:v>
                </c:pt>
                <c:pt idx="257">
                  <c:v>2013-02-26</c:v>
                </c:pt>
                <c:pt idx="258">
                  <c:v>2013-02-27</c:v>
                </c:pt>
                <c:pt idx="259">
                  <c:v>2013-02-28</c:v>
                </c:pt>
                <c:pt idx="260">
                  <c:v>2013-03-03</c:v>
                </c:pt>
                <c:pt idx="261">
                  <c:v>2013-03-04</c:v>
                </c:pt>
                <c:pt idx="262">
                  <c:v>2013-03-05</c:v>
                </c:pt>
                <c:pt idx="263">
                  <c:v>2013-03-06</c:v>
                </c:pt>
                <c:pt idx="264">
                  <c:v>2013-03-07</c:v>
                </c:pt>
                <c:pt idx="265">
                  <c:v>2013-03-10</c:v>
                </c:pt>
                <c:pt idx="266">
                  <c:v>2013-03-11</c:v>
                </c:pt>
                <c:pt idx="267">
                  <c:v>2013-03-12</c:v>
                </c:pt>
                <c:pt idx="268">
                  <c:v>2013-03-13</c:v>
                </c:pt>
                <c:pt idx="269">
                  <c:v>2013-03-14</c:v>
                </c:pt>
                <c:pt idx="270">
                  <c:v>2013-03-17</c:v>
                </c:pt>
                <c:pt idx="271">
                  <c:v>2013-03-18</c:v>
                </c:pt>
                <c:pt idx="272">
                  <c:v>2013-03-19</c:v>
                </c:pt>
                <c:pt idx="273">
                  <c:v>2013-03-20</c:v>
                </c:pt>
                <c:pt idx="274">
                  <c:v>2013-03-21</c:v>
                </c:pt>
                <c:pt idx="275">
                  <c:v>2013-03-24</c:v>
                </c:pt>
                <c:pt idx="276">
                  <c:v>2013-03-25</c:v>
                </c:pt>
                <c:pt idx="277">
                  <c:v>2013-03-26</c:v>
                </c:pt>
                <c:pt idx="278">
                  <c:v>2013-03-27</c:v>
                </c:pt>
                <c:pt idx="279">
                  <c:v>2013-03-28</c:v>
                </c:pt>
                <c:pt idx="280">
                  <c:v>2013-03-31</c:v>
                </c:pt>
                <c:pt idx="281">
                  <c:v>2013-04-01</c:v>
                </c:pt>
                <c:pt idx="282">
                  <c:v>2013-04-02</c:v>
                </c:pt>
                <c:pt idx="283">
                  <c:v>2013-04-03</c:v>
                </c:pt>
                <c:pt idx="284">
                  <c:v>2013-04-04</c:v>
                </c:pt>
                <c:pt idx="285">
                  <c:v>2013-04-07</c:v>
                </c:pt>
                <c:pt idx="286">
                  <c:v>2013-04-08</c:v>
                </c:pt>
                <c:pt idx="287">
                  <c:v>2013-04-09</c:v>
                </c:pt>
                <c:pt idx="288">
                  <c:v>2013-04-10</c:v>
                </c:pt>
                <c:pt idx="289">
                  <c:v>2013-04-11</c:v>
                </c:pt>
                <c:pt idx="290">
                  <c:v>2013-04-14</c:v>
                </c:pt>
                <c:pt idx="291">
                  <c:v>2013-04-15</c:v>
                </c:pt>
                <c:pt idx="292">
                  <c:v>2013-04-16</c:v>
                </c:pt>
                <c:pt idx="293">
                  <c:v>2013-04-17</c:v>
                </c:pt>
                <c:pt idx="294">
                  <c:v>2013-04-18</c:v>
                </c:pt>
                <c:pt idx="295">
                  <c:v>2013-04-21</c:v>
                </c:pt>
                <c:pt idx="296">
                  <c:v>2013-04-22</c:v>
                </c:pt>
                <c:pt idx="297">
                  <c:v>2013-04-23</c:v>
                </c:pt>
                <c:pt idx="298">
                  <c:v>2013-04-24</c:v>
                </c:pt>
                <c:pt idx="299">
                  <c:v>2013-04-28</c:v>
                </c:pt>
                <c:pt idx="300">
                  <c:v>2013-04-29</c:v>
                </c:pt>
                <c:pt idx="301">
                  <c:v>2013-04-30</c:v>
                </c:pt>
                <c:pt idx="302">
                  <c:v>2013-05-02</c:v>
                </c:pt>
                <c:pt idx="303">
                  <c:v>2013-05-07</c:v>
                </c:pt>
                <c:pt idx="304">
                  <c:v>2013-05-08</c:v>
                </c:pt>
                <c:pt idx="305">
                  <c:v>2013-05-09</c:v>
                </c:pt>
                <c:pt idx="306">
                  <c:v>2013-05-12</c:v>
                </c:pt>
                <c:pt idx="307">
                  <c:v>2013-05-13</c:v>
                </c:pt>
                <c:pt idx="308">
                  <c:v>2013-05-14</c:v>
                </c:pt>
                <c:pt idx="309">
                  <c:v>2013-05-15</c:v>
                </c:pt>
                <c:pt idx="310">
                  <c:v>2013-05-16</c:v>
                </c:pt>
                <c:pt idx="311">
                  <c:v>2013-05-19</c:v>
                </c:pt>
                <c:pt idx="312">
                  <c:v>2013-05-20</c:v>
                </c:pt>
                <c:pt idx="313">
                  <c:v>2013-05-21</c:v>
                </c:pt>
                <c:pt idx="314">
                  <c:v>2013-05-22</c:v>
                </c:pt>
                <c:pt idx="315">
                  <c:v>2013-05-23</c:v>
                </c:pt>
                <c:pt idx="316">
                  <c:v>2013-05-26</c:v>
                </c:pt>
                <c:pt idx="317">
                  <c:v>2013-05-27</c:v>
                </c:pt>
                <c:pt idx="318">
                  <c:v>2013-05-28</c:v>
                </c:pt>
                <c:pt idx="319">
                  <c:v>2013-05-29</c:v>
                </c:pt>
                <c:pt idx="320">
                  <c:v>2013-05-30</c:v>
                </c:pt>
                <c:pt idx="321">
                  <c:v>2013-06-02</c:v>
                </c:pt>
                <c:pt idx="322">
                  <c:v>2013-06-03</c:v>
                </c:pt>
                <c:pt idx="323">
                  <c:v>2013-06-04</c:v>
                </c:pt>
                <c:pt idx="324">
                  <c:v>2013-06-05</c:v>
                </c:pt>
                <c:pt idx="325">
                  <c:v>2013-06-06</c:v>
                </c:pt>
                <c:pt idx="326">
                  <c:v>2013-06-09</c:v>
                </c:pt>
                <c:pt idx="327">
                  <c:v>2013-06-10</c:v>
                </c:pt>
                <c:pt idx="328">
                  <c:v>2013-06-12</c:v>
                </c:pt>
                <c:pt idx="329">
                  <c:v>2013-06-13</c:v>
                </c:pt>
                <c:pt idx="330">
                  <c:v>2013-06-16</c:v>
                </c:pt>
                <c:pt idx="331">
                  <c:v>2013-06-17</c:v>
                </c:pt>
                <c:pt idx="332">
                  <c:v>2013-06-18</c:v>
                </c:pt>
                <c:pt idx="333">
                  <c:v>2013-06-19</c:v>
                </c:pt>
                <c:pt idx="334">
                  <c:v>2013-06-20</c:v>
                </c:pt>
                <c:pt idx="335">
                  <c:v>2013-06-23</c:v>
                </c:pt>
                <c:pt idx="336">
                  <c:v>2013-06-24</c:v>
                </c:pt>
                <c:pt idx="337">
                  <c:v>2013-06-25</c:v>
                </c:pt>
                <c:pt idx="338">
                  <c:v>2013-06-26</c:v>
                </c:pt>
                <c:pt idx="339">
                  <c:v>2013-06-27</c:v>
                </c:pt>
                <c:pt idx="340">
                  <c:v>2013-06-30</c:v>
                </c:pt>
                <c:pt idx="341">
                  <c:v>2013-07-02</c:v>
                </c:pt>
                <c:pt idx="342">
                  <c:v>2013-07-03</c:v>
                </c:pt>
                <c:pt idx="343">
                  <c:v>2013-07-04</c:v>
                </c:pt>
                <c:pt idx="344">
                  <c:v>2013-07-07</c:v>
                </c:pt>
                <c:pt idx="345">
                  <c:v>2013-07-08</c:v>
                </c:pt>
                <c:pt idx="346">
                  <c:v>2013-07-09</c:v>
                </c:pt>
                <c:pt idx="347">
                  <c:v>2013-07-10</c:v>
                </c:pt>
                <c:pt idx="348">
                  <c:v>2013-07-11</c:v>
                </c:pt>
                <c:pt idx="349">
                  <c:v>2013-07-14</c:v>
                </c:pt>
                <c:pt idx="350">
                  <c:v>2013-07-16</c:v>
                </c:pt>
                <c:pt idx="351">
                  <c:v>2013-07-17</c:v>
                </c:pt>
                <c:pt idx="352">
                  <c:v>2013-07-18</c:v>
                </c:pt>
                <c:pt idx="353">
                  <c:v>2013-07-21</c:v>
                </c:pt>
                <c:pt idx="354">
                  <c:v>2013-07-22</c:v>
                </c:pt>
                <c:pt idx="355">
                  <c:v>2013-07-24</c:v>
                </c:pt>
                <c:pt idx="356">
                  <c:v>2013-07-25</c:v>
                </c:pt>
                <c:pt idx="357">
                  <c:v>2013-07-28</c:v>
                </c:pt>
                <c:pt idx="358">
                  <c:v>2013-07-29</c:v>
                </c:pt>
                <c:pt idx="359">
                  <c:v>2013-07-31</c:v>
                </c:pt>
                <c:pt idx="360">
                  <c:v>2013-08-01</c:v>
                </c:pt>
                <c:pt idx="361">
                  <c:v>2013-08-04</c:v>
                </c:pt>
                <c:pt idx="362">
                  <c:v>2013-08-05</c:v>
                </c:pt>
                <c:pt idx="363">
                  <c:v>2013-08-06</c:v>
                </c:pt>
                <c:pt idx="364">
                  <c:v>2013-08-07</c:v>
                </c:pt>
                <c:pt idx="365">
                  <c:v>2013-08-12</c:v>
                </c:pt>
                <c:pt idx="366">
                  <c:v>2013-08-13</c:v>
                </c:pt>
                <c:pt idx="367">
                  <c:v>2013-08-14</c:v>
                </c:pt>
                <c:pt idx="368">
                  <c:v>2013-08-18</c:v>
                </c:pt>
                <c:pt idx="369">
                  <c:v>2013-08-19</c:v>
                </c:pt>
                <c:pt idx="370">
                  <c:v>2013-08-20</c:v>
                </c:pt>
                <c:pt idx="371">
                  <c:v>2013-08-21</c:v>
                </c:pt>
                <c:pt idx="372">
                  <c:v>2013-08-22</c:v>
                </c:pt>
                <c:pt idx="373">
                  <c:v>2013-08-25</c:v>
                </c:pt>
                <c:pt idx="374">
                  <c:v>2013-08-26</c:v>
                </c:pt>
                <c:pt idx="375">
                  <c:v>2013-08-27</c:v>
                </c:pt>
                <c:pt idx="376">
                  <c:v>2013-08-28</c:v>
                </c:pt>
                <c:pt idx="377">
                  <c:v>2013-08-29</c:v>
                </c:pt>
                <c:pt idx="378">
                  <c:v>2013-09-01</c:v>
                </c:pt>
                <c:pt idx="379">
                  <c:v>2013-09-08</c:v>
                </c:pt>
                <c:pt idx="380">
                  <c:v>2013-09-09</c:v>
                </c:pt>
                <c:pt idx="381">
                  <c:v>2013-09-10</c:v>
                </c:pt>
                <c:pt idx="382">
                  <c:v>2013-09-12</c:v>
                </c:pt>
                <c:pt idx="383">
                  <c:v>2013-09-15</c:v>
                </c:pt>
                <c:pt idx="384">
                  <c:v>2013-09-16</c:v>
                </c:pt>
                <c:pt idx="385">
                  <c:v>2013-09-18</c:v>
                </c:pt>
                <c:pt idx="386">
                  <c:v>2013-09-22</c:v>
                </c:pt>
                <c:pt idx="387">
                  <c:v>2013-09-23</c:v>
                </c:pt>
                <c:pt idx="388">
                  <c:v>2013-09-25</c:v>
                </c:pt>
                <c:pt idx="389">
                  <c:v>2013-09-26</c:v>
                </c:pt>
                <c:pt idx="390">
                  <c:v>2013-09-29</c:v>
                </c:pt>
                <c:pt idx="391">
                  <c:v>2013-09-30</c:v>
                </c:pt>
                <c:pt idx="392">
                  <c:v>2013-10-01</c:v>
                </c:pt>
                <c:pt idx="393">
                  <c:v>2013-10-02</c:v>
                </c:pt>
                <c:pt idx="394">
                  <c:v>2013-10-03</c:v>
                </c:pt>
                <c:pt idx="395">
                  <c:v>2013-10-07</c:v>
                </c:pt>
                <c:pt idx="396">
                  <c:v>2013-10-08</c:v>
                </c:pt>
                <c:pt idx="397">
                  <c:v>2013-10-09</c:v>
                </c:pt>
                <c:pt idx="398">
                  <c:v>2013-10-10</c:v>
                </c:pt>
                <c:pt idx="399">
                  <c:v>2013-10-13</c:v>
                </c:pt>
                <c:pt idx="400">
                  <c:v>2013-10-20</c:v>
                </c:pt>
                <c:pt idx="401">
                  <c:v>2013-10-21</c:v>
                </c:pt>
                <c:pt idx="402">
                  <c:v>2013-10-22</c:v>
                </c:pt>
                <c:pt idx="403">
                  <c:v>2013-10-23</c:v>
                </c:pt>
                <c:pt idx="404">
                  <c:v>2013-10-24</c:v>
                </c:pt>
                <c:pt idx="405">
                  <c:v>2013-10-27</c:v>
                </c:pt>
                <c:pt idx="406">
                  <c:v>2013-10-28</c:v>
                </c:pt>
                <c:pt idx="407">
                  <c:v>2013-10-29</c:v>
                </c:pt>
                <c:pt idx="408">
                  <c:v>2013-10-30</c:v>
                </c:pt>
                <c:pt idx="409">
                  <c:v>2013-10-31</c:v>
                </c:pt>
                <c:pt idx="410">
                  <c:v>2013-11-03</c:v>
                </c:pt>
                <c:pt idx="411">
                  <c:v>2013-11-04</c:v>
                </c:pt>
                <c:pt idx="412">
                  <c:v>2013-11-06</c:v>
                </c:pt>
                <c:pt idx="413">
                  <c:v>2013-11-07</c:v>
                </c:pt>
                <c:pt idx="414">
                  <c:v>2013-11-10</c:v>
                </c:pt>
                <c:pt idx="415">
                  <c:v>2013-11-11</c:v>
                </c:pt>
                <c:pt idx="416">
                  <c:v>2013-11-12</c:v>
                </c:pt>
                <c:pt idx="417">
                  <c:v>2013-11-13</c:v>
                </c:pt>
                <c:pt idx="418">
                  <c:v>2013-11-14</c:v>
                </c:pt>
                <c:pt idx="419">
                  <c:v>2013-11-18</c:v>
                </c:pt>
                <c:pt idx="420">
                  <c:v>2013-11-19</c:v>
                </c:pt>
                <c:pt idx="421">
                  <c:v>2013-11-20</c:v>
                </c:pt>
                <c:pt idx="422">
                  <c:v>2013-11-21</c:v>
                </c:pt>
                <c:pt idx="423">
                  <c:v>2013-11-24</c:v>
                </c:pt>
                <c:pt idx="424">
                  <c:v>2013-11-25</c:v>
                </c:pt>
                <c:pt idx="425">
                  <c:v>2013-11-26</c:v>
                </c:pt>
                <c:pt idx="426">
                  <c:v>2013-11-27</c:v>
                </c:pt>
                <c:pt idx="427">
                  <c:v>2013-11-28</c:v>
                </c:pt>
                <c:pt idx="428">
                  <c:v>2013-12-02</c:v>
                </c:pt>
                <c:pt idx="429">
                  <c:v>2013-12-03</c:v>
                </c:pt>
                <c:pt idx="430">
                  <c:v>2013-12-04</c:v>
                </c:pt>
                <c:pt idx="431">
                  <c:v>2013-12-05</c:v>
                </c:pt>
                <c:pt idx="432">
                  <c:v>2013-12-08</c:v>
                </c:pt>
                <c:pt idx="433">
                  <c:v>2013-12-09</c:v>
                </c:pt>
                <c:pt idx="434">
                  <c:v>2013-12-10</c:v>
                </c:pt>
                <c:pt idx="435">
                  <c:v>2013-12-11</c:v>
                </c:pt>
                <c:pt idx="436">
                  <c:v>2013-12-12</c:v>
                </c:pt>
                <c:pt idx="437">
                  <c:v>2013-12-15</c:v>
                </c:pt>
                <c:pt idx="438">
                  <c:v>2013-12-16</c:v>
                </c:pt>
                <c:pt idx="439">
                  <c:v>2013-12-17</c:v>
                </c:pt>
                <c:pt idx="440">
                  <c:v>2013-12-18</c:v>
                </c:pt>
                <c:pt idx="441">
                  <c:v>2013-12-19</c:v>
                </c:pt>
                <c:pt idx="442">
                  <c:v>2013-12-22</c:v>
                </c:pt>
                <c:pt idx="443">
                  <c:v>2013-12-23</c:v>
                </c:pt>
                <c:pt idx="444">
                  <c:v>2013-12-24</c:v>
                </c:pt>
                <c:pt idx="445">
                  <c:v>2013-12-25</c:v>
                </c:pt>
                <c:pt idx="446">
                  <c:v>2013-12-26</c:v>
                </c:pt>
                <c:pt idx="447">
                  <c:v>2013-12-29</c:v>
                </c:pt>
                <c:pt idx="448">
                  <c:v>2013-12-30</c:v>
                </c:pt>
                <c:pt idx="449">
                  <c:v>2013-12-31</c:v>
                </c:pt>
                <c:pt idx="450">
                  <c:v>2014-01-02</c:v>
                </c:pt>
                <c:pt idx="451">
                  <c:v>2014-01-05</c:v>
                </c:pt>
                <c:pt idx="452">
                  <c:v>2014-01-06</c:v>
                </c:pt>
                <c:pt idx="453">
                  <c:v>2014-01-08</c:v>
                </c:pt>
                <c:pt idx="454">
                  <c:v>2014-01-09</c:v>
                </c:pt>
                <c:pt idx="455">
                  <c:v>2014-01-12</c:v>
                </c:pt>
                <c:pt idx="456">
                  <c:v>2014-01-14</c:v>
                </c:pt>
                <c:pt idx="457">
                  <c:v>2014-01-15</c:v>
                </c:pt>
                <c:pt idx="458">
                  <c:v>2014-01-16</c:v>
                </c:pt>
                <c:pt idx="459">
                  <c:v>2014-01-19</c:v>
                </c:pt>
                <c:pt idx="460">
                  <c:v>2014-01-20</c:v>
                </c:pt>
                <c:pt idx="461">
                  <c:v>2014-01-22</c:v>
                </c:pt>
                <c:pt idx="462">
                  <c:v>2014-01-23</c:v>
                </c:pt>
                <c:pt idx="463">
                  <c:v>2014-01-26</c:v>
                </c:pt>
                <c:pt idx="464">
                  <c:v>2014-01-27</c:v>
                </c:pt>
                <c:pt idx="465">
                  <c:v>2014-01-28</c:v>
                </c:pt>
                <c:pt idx="466">
                  <c:v>2014-01-29</c:v>
                </c:pt>
                <c:pt idx="467">
                  <c:v>2014-02-02</c:v>
                </c:pt>
                <c:pt idx="468">
                  <c:v>2014-02-03</c:v>
                </c:pt>
                <c:pt idx="469">
                  <c:v>2014-02-04</c:v>
                </c:pt>
                <c:pt idx="470">
                  <c:v>2014-02-05</c:v>
                </c:pt>
                <c:pt idx="471">
                  <c:v>2014-02-06</c:v>
                </c:pt>
                <c:pt idx="472">
                  <c:v>2014-02-09</c:v>
                </c:pt>
                <c:pt idx="473">
                  <c:v>2014-02-10</c:v>
                </c:pt>
                <c:pt idx="474">
                  <c:v>2014-02-11</c:v>
                </c:pt>
                <c:pt idx="475">
                  <c:v>2014-02-12</c:v>
                </c:pt>
                <c:pt idx="476">
                  <c:v>2014-02-13</c:v>
                </c:pt>
                <c:pt idx="477">
                  <c:v>2014-02-16</c:v>
                </c:pt>
                <c:pt idx="478">
                  <c:v>2014-02-17</c:v>
                </c:pt>
                <c:pt idx="479">
                  <c:v>2014-02-18</c:v>
                </c:pt>
                <c:pt idx="480">
                  <c:v>2014-02-19</c:v>
                </c:pt>
                <c:pt idx="481">
                  <c:v>2014-02-20</c:v>
                </c:pt>
                <c:pt idx="482">
                  <c:v>2014-02-23</c:v>
                </c:pt>
                <c:pt idx="483">
                  <c:v>2014-02-24</c:v>
                </c:pt>
                <c:pt idx="484">
                  <c:v>2014-02-25</c:v>
                </c:pt>
                <c:pt idx="485">
                  <c:v>2014-02-26</c:v>
                </c:pt>
                <c:pt idx="486">
                  <c:v>2014-02-27</c:v>
                </c:pt>
                <c:pt idx="487">
                  <c:v>2014-03-02</c:v>
                </c:pt>
                <c:pt idx="488">
                  <c:v>2014-03-03</c:v>
                </c:pt>
                <c:pt idx="489">
                  <c:v>2014-03-05</c:v>
                </c:pt>
                <c:pt idx="490">
                  <c:v>2014-03-06</c:v>
                </c:pt>
                <c:pt idx="491">
                  <c:v>2014-03-09</c:v>
                </c:pt>
                <c:pt idx="492">
                  <c:v>2014-03-10</c:v>
                </c:pt>
                <c:pt idx="493">
                  <c:v>2014-03-11</c:v>
                </c:pt>
                <c:pt idx="494">
                  <c:v>2014-03-12</c:v>
                </c:pt>
                <c:pt idx="495">
                  <c:v>2014-03-13</c:v>
                </c:pt>
                <c:pt idx="496">
                  <c:v>2014-03-16</c:v>
                </c:pt>
                <c:pt idx="497">
                  <c:v>2014-03-18</c:v>
                </c:pt>
                <c:pt idx="498">
                  <c:v>2014-03-19</c:v>
                </c:pt>
                <c:pt idx="499">
                  <c:v>2014-03-20</c:v>
                </c:pt>
                <c:pt idx="500">
                  <c:v>2014-03-23</c:v>
                </c:pt>
                <c:pt idx="501">
                  <c:v>2014-03-25</c:v>
                </c:pt>
                <c:pt idx="502">
                  <c:v>2014-03-26</c:v>
                </c:pt>
                <c:pt idx="503">
                  <c:v>2014-03-27</c:v>
                </c:pt>
                <c:pt idx="504">
                  <c:v>2014-03-31</c:v>
                </c:pt>
                <c:pt idx="505">
                  <c:v>2014-04-01</c:v>
                </c:pt>
                <c:pt idx="506">
                  <c:v>2014-04-02</c:v>
                </c:pt>
                <c:pt idx="507">
                  <c:v>2014-04-03</c:v>
                </c:pt>
                <c:pt idx="508">
                  <c:v>2014-04-06</c:v>
                </c:pt>
                <c:pt idx="509">
                  <c:v>2014-04-07</c:v>
                </c:pt>
                <c:pt idx="510">
                  <c:v>2014-04-08</c:v>
                </c:pt>
                <c:pt idx="511">
                  <c:v>2014-04-09</c:v>
                </c:pt>
                <c:pt idx="512">
                  <c:v>2014-04-10</c:v>
                </c:pt>
                <c:pt idx="513">
                  <c:v>2014-04-13</c:v>
                </c:pt>
                <c:pt idx="514">
                  <c:v>2014-04-14</c:v>
                </c:pt>
                <c:pt idx="515">
                  <c:v>2014-04-15</c:v>
                </c:pt>
                <c:pt idx="516">
                  <c:v>2014-04-16</c:v>
                </c:pt>
                <c:pt idx="517">
                  <c:v>2014-04-17</c:v>
                </c:pt>
                <c:pt idx="518">
                  <c:v>2014-04-22</c:v>
                </c:pt>
                <c:pt idx="519">
                  <c:v>2014-04-23</c:v>
                </c:pt>
                <c:pt idx="520">
                  <c:v>2014-04-27</c:v>
                </c:pt>
                <c:pt idx="521">
                  <c:v>2014-04-28</c:v>
                </c:pt>
                <c:pt idx="522">
                  <c:v>2014-04-29</c:v>
                </c:pt>
                <c:pt idx="523">
                  <c:v>2014-04-30</c:v>
                </c:pt>
                <c:pt idx="524">
                  <c:v>2014-05-04</c:v>
                </c:pt>
                <c:pt idx="525">
                  <c:v>2014-05-05</c:v>
                </c:pt>
                <c:pt idx="526">
                  <c:v>2014-05-06</c:v>
                </c:pt>
                <c:pt idx="527">
                  <c:v>2014-05-07</c:v>
                </c:pt>
                <c:pt idx="528">
                  <c:v>2014-05-08</c:v>
                </c:pt>
                <c:pt idx="529">
                  <c:v>2014-05-11</c:v>
                </c:pt>
                <c:pt idx="530">
                  <c:v>2014-05-12</c:v>
                </c:pt>
                <c:pt idx="531">
                  <c:v>2014-05-14</c:v>
                </c:pt>
                <c:pt idx="532">
                  <c:v>2014-05-15</c:v>
                </c:pt>
                <c:pt idx="533">
                  <c:v>2014-05-18</c:v>
                </c:pt>
                <c:pt idx="534">
                  <c:v>2014-05-19</c:v>
                </c:pt>
                <c:pt idx="535">
                  <c:v>2014-05-20</c:v>
                </c:pt>
                <c:pt idx="536">
                  <c:v>2014-05-21</c:v>
                </c:pt>
                <c:pt idx="537">
                  <c:v>2014-05-22</c:v>
                </c:pt>
                <c:pt idx="538">
                  <c:v>2014-05-25</c:v>
                </c:pt>
                <c:pt idx="539">
                  <c:v>2014-05-26</c:v>
                </c:pt>
                <c:pt idx="540">
                  <c:v>2014-05-28</c:v>
                </c:pt>
                <c:pt idx="541">
                  <c:v>2014-05-29</c:v>
                </c:pt>
                <c:pt idx="542">
                  <c:v>2014-06-01</c:v>
                </c:pt>
                <c:pt idx="543">
                  <c:v>2014-06-02</c:v>
                </c:pt>
                <c:pt idx="544">
                  <c:v>2014-06-03</c:v>
                </c:pt>
                <c:pt idx="545">
                  <c:v>2014-06-04</c:v>
                </c:pt>
                <c:pt idx="546">
                  <c:v>2014-06-05</c:v>
                </c:pt>
                <c:pt idx="547">
                  <c:v>2014-06-09</c:v>
                </c:pt>
                <c:pt idx="548">
                  <c:v>2014-06-10</c:v>
                </c:pt>
                <c:pt idx="549">
                  <c:v>2014-06-11</c:v>
                </c:pt>
                <c:pt idx="550">
                  <c:v>2014-06-12</c:v>
                </c:pt>
                <c:pt idx="551">
                  <c:v>2014-06-15</c:v>
                </c:pt>
                <c:pt idx="552">
                  <c:v>2014-06-16</c:v>
                </c:pt>
                <c:pt idx="553">
                  <c:v>2014-06-17</c:v>
                </c:pt>
                <c:pt idx="554">
                  <c:v>2014-06-19</c:v>
                </c:pt>
                <c:pt idx="555">
                  <c:v>2014-06-22</c:v>
                </c:pt>
                <c:pt idx="556">
                  <c:v>2014-06-23</c:v>
                </c:pt>
                <c:pt idx="557">
                  <c:v>2014-06-24</c:v>
                </c:pt>
                <c:pt idx="558">
                  <c:v>2014-06-25</c:v>
                </c:pt>
                <c:pt idx="559">
                  <c:v>2014-06-26</c:v>
                </c:pt>
                <c:pt idx="560">
                  <c:v>2014-06-30</c:v>
                </c:pt>
                <c:pt idx="561">
                  <c:v>2014-07-02</c:v>
                </c:pt>
                <c:pt idx="562">
                  <c:v>2014-07-03</c:v>
                </c:pt>
                <c:pt idx="563">
                  <c:v>2014-07-06</c:v>
                </c:pt>
                <c:pt idx="564">
                  <c:v>2014-07-07</c:v>
                </c:pt>
                <c:pt idx="565">
                  <c:v>2014-07-08</c:v>
                </c:pt>
                <c:pt idx="566">
                  <c:v>2014-07-09</c:v>
                </c:pt>
                <c:pt idx="567">
                  <c:v>2014-07-10</c:v>
                </c:pt>
                <c:pt idx="568">
                  <c:v>2014-07-13</c:v>
                </c:pt>
                <c:pt idx="569">
                  <c:v>2014-07-15</c:v>
                </c:pt>
                <c:pt idx="570">
                  <c:v>2014-07-16</c:v>
                </c:pt>
                <c:pt idx="571">
                  <c:v>2014-07-21</c:v>
                </c:pt>
                <c:pt idx="572">
                  <c:v>2014-07-22</c:v>
                </c:pt>
                <c:pt idx="573">
                  <c:v>2014-07-24</c:v>
                </c:pt>
                <c:pt idx="574">
                  <c:v>2014-07-31</c:v>
                </c:pt>
                <c:pt idx="575">
                  <c:v>2014-08-03</c:v>
                </c:pt>
                <c:pt idx="576">
                  <c:v>2014-08-04</c:v>
                </c:pt>
                <c:pt idx="577">
                  <c:v>2014-08-05</c:v>
                </c:pt>
                <c:pt idx="578">
                  <c:v>2014-08-06</c:v>
                </c:pt>
                <c:pt idx="579">
                  <c:v>2014-08-07</c:v>
                </c:pt>
                <c:pt idx="580">
                  <c:v>2014-08-08</c:v>
                </c:pt>
                <c:pt idx="581">
                  <c:v>2014-08-11</c:v>
                </c:pt>
                <c:pt idx="582">
                  <c:v>2014-08-12</c:v>
                </c:pt>
                <c:pt idx="583">
                  <c:v>2014-08-13</c:v>
                </c:pt>
                <c:pt idx="584">
                  <c:v>2014-08-14</c:v>
                </c:pt>
                <c:pt idx="585">
                  <c:v>2014-08-17</c:v>
                </c:pt>
                <c:pt idx="586">
                  <c:v>2014-08-18</c:v>
                </c:pt>
                <c:pt idx="587">
                  <c:v>2014-08-19</c:v>
                </c:pt>
                <c:pt idx="588">
                  <c:v>2014-08-20</c:v>
                </c:pt>
                <c:pt idx="589">
                  <c:v>2014-08-21</c:v>
                </c:pt>
                <c:pt idx="590">
                  <c:v>2014-08-24</c:v>
                </c:pt>
                <c:pt idx="591">
                  <c:v>2014-08-25</c:v>
                </c:pt>
                <c:pt idx="592">
                  <c:v>2014-08-26</c:v>
                </c:pt>
                <c:pt idx="593">
                  <c:v>2014-08-27</c:v>
                </c:pt>
                <c:pt idx="594">
                  <c:v>2014-08-28</c:v>
                </c:pt>
                <c:pt idx="595">
                  <c:v>2014-08-31</c:v>
                </c:pt>
                <c:pt idx="596">
                  <c:v>2014-09-02</c:v>
                </c:pt>
                <c:pt idx="597">
                  <c:v>2014-09-03</c:v>
                </c:pt>
                <c:pt idx="598">
                  <c:v>2014-09-04</c:v>
                </c:pt>
                <c:pt idx="599">
                  <c:v>2014-09-08</c:v>
                </c:pt>
                <c:pt idx="600">
                  <c:v>2014-09-09</c:v>
                </c:pt>
                <c:pt idx="601">
                  <c:v>2014-09-10</c:v>
                </c:pt>
                <c:pt idx="602">
                  <c:v>2014-09-11</c:v>
                </c:pt>
                <c:pt idx="603">
                  <c:v>2014-09-14</c:v>
                </c:pt>
                <c:pt idx="604">
                  <c:v>2014-09-15</c:v>
                </c:pt>
                <c:pt idx="605">
                  <c:v>2014-09-16</c:v>
                </c:pt>
                <c:pt idx="606">
                  <c:v>2014-09-17</c:v>
                </c:pt>
                <c:pt idx="607">
                  <c:v>2014-09-21</c:v>
                </c:pt>
                <c:pt idx="608">
                  <c:v>2014-09-22</c:v>
                </c:pt>
                <c:pt idx="609">
                  <c:v>2014-09-24</c:v>
                </c:pt>
                <c:pt idx="610">
                  <c:v>2014-09-25</c:v>
                </c:pt>
                <c:pt idx="611">
                  <c:v>2014-09-28</c:v>
                </c:pt>
                <c:pt idx="612">
                  <c:v>2014-09-29</c:v>
                </c:pt>
                <c:pt idx="613">
                  <c:v>2014-09-30</c:v>
                </c:pt>
                <c:pt idx="614">
                  <c:v>2014-10-01</c:v>
                </c:pt>
                <c:pt idx="615">
                  <c:v>2014-10-02</c:v>
                </c:pt>
                <c:pt idx="616">
                  <c:v>2014-10-08</c:v>
                </c:pt>
                <c:pt idx="617">
                  <c:v>2014-10-09</c:v>
                </c:pt>
                <c:pt idx="618">
                  <c:v>2014-10-12</c:v>
                </c:pt>
                <c:pt idx="619">
                  <c:v>2014-10-13</c:v>
                </c:pt>
                <c:pt idx="620">
                  <c:v>2014-10-14</c:v>
                </c:pt>
                <c:pt idx="621">
                  <c:v>2014-10-15</c:v>
                </c:pt>
                <c:pt idx="622">
                  <c:v>2014-10-16</c:v>
                </c:pt>
                <c:pt idx="623">
                  <c:v>2014-10-19</c:v>
                </c:pt>
                <c:pt idx="624">
                  <c:v>2014-10-21</c:v>
                </c:pt>
                <c:pt idx="625">
                  <c:v>2014-10-23</c:v>
                </c:pt>
                <c:pt idx="626">
                  <c:v>2014-10-26</c:v>
                </c:pt>
                <c:pt idx="627">
                  <c:v>2014-10-27</c:v>
                </c:pt>
                <c:pt idx="628">
                  <c:v>2014-10-28</c:v>
                </c:pt>
                <c:pt idx="629">
                  <c:v>2014-10-30</c:v>
                </c:pt>
                <c:pt idx="630">
                  <c:v>2014-11-02</c:v>
                </c:pt>
                <c:pt idx="631">
                  <c:v>2014-11-03</c:v>
                </c:pt>
                <c:pt idx="632">
                  <c:v>2014-11-04</c:v>
                </c:pt>
                <c:pt idx="633">
                  <c:v>2014-11-05</c:v>
                </c:pt>
                <c:pt idx="634">
                  <c:v>2014-11-06</c:v>
                </c:pt>
                <c:pt idx="635">
                  <c:v>2014-11-09</c:v>
                </c:pt>
                <c:pt idx="636">
                  <c:v>2014-11-11</c:v>
                </c:pt>
                <c:pt idx="637">
                  <c:v>2014-11-12</c:v>
                </c:pt>
                <c:pt idx="638">
                  <c:v>2014-11-13</c:v>
                </c:pt>
                <c:pt idx="639">
                  <c:v>2014-11-17</c:v>
                </c:pt>
                <c:pt idx="640">
                  <c:v>2014-11-18</c:v>
                </c:pt>
                <c:pt idx="641">
                  <c:v>2014-11-19</c:v>
                </c:pt>
                <c:pt idx="642">
                  <c:v>2014-11-20</c:v>
                </c:pt>
                <c:pt idx="643">
                  <c:v>2014-11-24</c:v>
                </c:pt>
                <c:pt idx="644">
                  <c:v>2014-11-25</c:v>
                </c:pt>
                <c:pt idx="645">
                  <c:v>2014-11-26</c:v>
                </c:pt>
                <c:pt idx="646">
                  <c:v>2014-12-02</c:v>
                </c:pt>
                <c:pt idx="647">
                  <c:v>2014-12-03</c:v>
                </c:pt>
                <c:pt idx="648">
                  <c:v>2014-12-04</c:v>
                </c:pt>
                <c:pt idx="649">
                  <c:v>2014-12-08</c:v>
                </c:pt>
                <c:pt idx="650">
                  <c:v>2014-12-10</c:v>
                </c:pt>
                <c:pt idx="651">
                  <c:v>2014-12-14</c:v>
                </c:pt>
                <c:pt idx="652">
                  <c:v>2014-12-15</c:v>
                </c:pt>
                <c:pt idx="653">
                  <c:v>2014-12-16</c:v>
                </c:pt>
                <c:pt idx="654">
                  <c:v>2014-12-17</c:v>
                </c:pt>
                <c:pt idx="655">
                  <c:v>2014-12-18</c:v>
                </c:pt>
                <c:pt idx="656">
                  <c:v>2014-12-21</c:v>
                </c:pt>
                <c:pt idx="657">
                  <c:v>2014-12-23</c:v>
                </c:pt>
                <c:pt idx="658">
                  <c:v>2014-12-24</c:v>
                </c:pt>
                <c:pt idx="659">
                  <c:v>2014-12-25</c:v>
                </c:pt>
                <c:pt idx="660">
                  <c:v>2014-12-29</c:v>
                </c:pt>
                <c:pt idx="661">
                  <c:v>2015-01-11</c:v>
                </c:pt>
                <c:pt idx="662">
                  <c:v>2015-01-14</c:v>
                </c:pt>
                <c:pt idx="663">
                  <c:v>2015-01-15</c:v>
                </c:pt>
                <c:pt idx="664">
                  <c:v>2015-01-19</c:v>
                </c:pt>
                <c:pt idx="665">
                  <c:v>2015-01-20</c:v>
                </c:pt>
                <c:pt idx="666">
                  <c:v>2015-01-21</c:v>
                </c:pt>
                <c:pt idx="667">
                  <c:v>2015-01-22</c:v>
                </c:pt>
                <c:pt idx="668">
                  <c:v>2015-01-27</c:v>
                </c:pt>
                <c:pt idx="669">
                  <c:v>2015-01-28</c:v>
                </c:pt>
                <c:pt idx="670">
                  <c:v>2015-02-01</c:v>
                </c:pt>
                <c:pt idx="671">
                  <c:v>2015-02-02</c:v>
                </c:pt>
                <c:pt idx="672">
                  <c:v>2015-02-04</c:v>
                </c:pt>
                <c:pt idx="673">
                  <c:v>2015-02-10</c:v>
                </c:pt>
                <c:pt idx="674">
                  <c:v>2015-02-11</c:v>
                </c:pt>
                <c:pt idx="675">
                  <c:v>2015-02-12</c:v>
                </c:pt>
                <c:pt idx="676">
                  <c:v>2015-02-16</c:v>
                </c:pt>
                <c:pt idx="677">
                  <c:v>2015-02-17</c:v>
                </c:pt>
                <c:pt idx="678">
                  <c:v>2015-02-18</c:v>
                </c:pt>
                <c:pt idx="679">
                  <c:v>2015-02-23</c:v>
                </c:pt>
                <c:pt idx="680">
                  <c:v>2015-02-26</c:v>
                </c:pt>
                <c:pt idx="681">
                  <c:v>2015-03-01</c:v>
                </c:pt>
                <c:pt idx="682">
                  <c:v>2015-03-02</c:v>
                </c:pt>
                <c:pt idx="683">
                  <c:v>2015-03-05</c:v>
                </c:pt>
                <c:pt idx="684">
                  <c:v>2015-03-08</c:v>
                </c:pt>
                <c:pt idx="685">
                  <c:v>2015-03-10</c:v>
                </c:pt>
                <c:pt idx="686">
                  <c:v>2015-03-11</c:v>
                </c:pt>
                <c:pt idx="687">
                  <c:v>2015-03-12</c:v>
                </c:pt>
                <c:pt idx="688">
                  <c:v>2015-03-15</c:v>
                </c:pt>
                <c:pt idx="689">
                  <c:v>2015-03-17</c:v>
                </c:pt>
                <c:pt idx="690">
                  <c:v>2015-03-19</c:v>
                </c:pt>
                <c:pt idx="691">
                  <c:v>2015-03-22</c:v>
                </c:pt>
                <c:pt idx="692">
                  <c:v>2015-03-24</c:v>
                </c:pt>
                <c:pt idx="693">
                  <c:v>2015-03-25</c:v>
                </c:pt>
                <c:pt idx="694">
                  <c:v>2015-03-29</c:v>
                </c:pt>
                <c:pt idx="695">
                  <c:v>2015-03-30</c:v>
                </c:pt>
                <c:pt idx="696">
                  <c:v>2015-03-31</c:v>
                </c:pt>
                <c:pt idx="697">
                  <c:v>2015-04-01</c:v>
                </c:pt>
                <c:pt idx="698">
                  <c:v>2015-04-02</c:v>
                </c:pt>
                <c:pt idx="699">
                  <c:v>2015-04-05</c:v>
                </c:pt>
                <c:pt idx="700">
                  <c:v>2015-04-06</c:v>
                </c:pt>
                <c:pt idx="701">
                  <c:v>2015-04-07</c:v>
                </c:pt>
                <c:pt idx="702">
                  <c:v>2015-04-08</c:v>
                </c:pt>
                <c:pt idx="703">
                  <c:v>2015-04-09</c:v>
                </c:pt>
                <c:pt idx="704">
                  <c:v>2015-04-14</c:v>
                </c:pt>
                <c:pt idx="705">
                  <c:v>2015-04-15</c:v>
                </c:pt>
                <c:pt idx="706">
                  <c:v>2015-04-16</c:v>
                </c:pt>
                <c:pt idx="707">
                  <c:v>2015-04-20</c:v>
                </c:pt>
                <c:pt idx="708">
                  <c:v>2015-04-22</c:v>
                </c:pt>
                <c:pt idx="709">
                  <c:v>2015-04-23</c:v>
                </c:pt>
                <c:pt idx="710">
                  <c:v>2015-04-26</c:v>
                </c:pt>
                <c:pt idx="711">
                  <c:v>2015-04-29</c:v>
                </c:pt>
                <c:pt idx="712">
                  <c:v>2015-04-30</c:v>
                </c:pt>
                <c:pt idx="713">
                  <c:v>2015-05-06</c:v>
                </c:pt>
                <c:pt idx="714">
                  <c:v>2015-05-07</c:v>
                </c:pt>
                <c:pt idx="715">
                  <c:v>2015-05-10</c:v>
                </c:pt>
                <c:pt idx="716">
                  <c:v>2015-05-11</c:v>
                </c:pt>
                <c:pt idx="717">
                  <c:v>2015-05-12</c:v>
                </c:pt>
                <c:pt idx="718">
                  <c:v>2015-05-13</c:v>
                </c:pt>
                <c:pt idx="719">
                  <c:v>2015-05-14</c:v>
                </c:pt>
                <c:pt idx="720">
                  <c:v>2015-05-17</c:v>
                </c:pt>
                <c:pt idx="721">
                  <c:v>2015-05-18</c:v>
                </c:pt>
                <c:pt idx="722">
                  <c:v>2015-05-19</c:v>
                </c:pt>
                <c:pt idx="723">
                  <c:v>2015-05-20</c:v>
                </c:pt>
                <c:pt idx="724">
                  <c:v>2015-05-21</c:v>
                </c:pt>
                <c:pt idx="725">
                  <c:v>2015-05-24</c:v>
                </c:pt>
                <c:pt idx="726">
                  <c:v>2015-05-25</c:v>
                </c:pt>
                <c:pt idx="727">
                  <c:v>2015-05-26</c:v>
                </c:pt>
                <c:pt idx="728">
                  <c:v>2015-05-27</c:v>
                </c:pt>
                <c:pt idx="729">
                  <c:v>2015-05-28</c:v>
                </c:pt>
                <c:pt idx="730">
                  <c:v>2015-06-01</c:v>
                </c:pt>
                <c:pt idx="731">
                  <c:v>2015-06-02</c:v>
                </c:pt>
                <c:pt idx="732">
                  <c:v>2015-06-03</c:v>
                </c:pt>
                <c:pt idx="733">
                  <c:v>2015-06-04</c:v>
                </c:pt>
                <c:pt idx="734">
                  <c:v>2015-06-07</c:v>
                </c:pt>
                <c:pt idx="735">
                  <c:v>2015-06-08</c:v>
                </c:pt>
                <c:pt idx="736">
                  <c:v>2015-06-09</c:v>
                </c:pt>
                <c:pt idx="737">
                  <c:v>2015-06-10</c:v>
                </c:pt>
                <c:pt idx="738">
                  <c:v>2015-06-14</c:v>
                </c:pt>
                <c:pt idx="739">
                  <c:v>2015-06-16</c:v>
                </c:pt>
                <c:pt idx="740">
                  <c:v>2015-06-21</c:v>
                </c:pt>
                <c:pt idx="741">
                  <c:v>2015-06-22</c:v>
                </c:pt>
                <c:pt idx="742">
                  <c:v>2015-06-23</c:v>
                </c:pt>
                <c:pt idx="743">
                  <c:v>2015-06-24</c:v>
                </c:pt>
                <c:pt idx="744">
                  <c:v>2015-06-29</c:v>
                </c:pt>
                <c:pt idx="745">
                  <c:v>2015-07-06</c:v>
                </c:pt>
                <c:pt idx="746">
                  <c:v>2015-07-08</c:v>
                </c:pt>
                <c:pt idx="747">
                  <c:v>2015-07-09</c:v>
                </c:pt>
                <c:pt idx="748">
                  <c:v>2015-07-13</c:v>
                </c:pt>
                <c:pt idx="749">
                  <c:v>2015-07-14</c:v>
                </c:pt>
                <c:pt idx="750">
                  <c:v>2015-07-15</c:v>
                </c:pt>
                <c:pt idx="751">
                  <c:v>2015-07-29</c:v>
                </c:pt>
                <c:pt idx="752">
                  <c:v>2015-08-02</c:v>
                </c:pt>
                <c:pt idx="753">
                  <c:v>2015-08-09</c:v>
                </c:pt>
                <c:pt idx="754">
                  <c:v>2015-08-10</c:v>
                </c:pt>
                <c:pt idx="755">
                  <c:v>2015-08-12</c:v>
                </c:pt>
                <c:pt idx="756">
                  <c:v>2015-08-16</c:v>
                </c:pt>
                <c:pt idx="757">
                  <c:v>2015-08-19</c:v>
                </c:pt>
                <c:pt idx="758">
                  <c:v>2015-08-20</c:v>
                </c:pt>
                <c:pt idx="759">
                  <c:v>2015-08-23</c:v>
                </c:pt>
                <c:pt idx="760">
                  <c:v>2015-08-24</c:v>
                </c:pt>
                <c:pt idx="761">
                  <c:v>2015-08-27</c:v>
                </c:pt>
                <c:pt idx="762">
                  <c:v>2015-08-30</c:v>
                </c:pt>
                <c:pt idx="763">
                  <c:v>2015-08-31</c:v>
                </c:pt>
                <c:pt idx="764">
                  <c:v>2015-09-03</c:v>
                </c:pt>
                <c:pt idx="765">
                  <c:v>2015-09-07</c:v>
                </c:pt>
                <c:pt idx="766">
                  <c:v>2015-09-14</c:v>
                </c:pt>
                <c:pt idx="767">
                  <c:v>2015-09-16</c:v>
                </c:pt>
                <c:pt idx="768">
                  <c:v>2015-09-17</c:v>
                </c:pt>
                <c:pt idx="769">
                  <c:v>2015-09-20</c:v>
                </c:pt>
                <c:pt idx="770">
                  <c:v>2015-09-21</c:v>
                </c:pt>
                <c:pt idx="771">
                  <c:v>2015-09-22</c:v>
                </c:pt>
                <c:pt idx="772">
                  <c:v>2015-09-29</c:v>
                </c:pt>
                <c:pt idx="773">
                  <c:v>2015-09-30</c:v>
                </c:pt>
                <c:pt idx="774">
                  <c:v>2015-10-07</c:v>
                </c:pt>
                <c:pt idx="775">
                  <c:v>2015-10-11</c:v>
                </c:pt>
                <c:pt idx="776">
                  <c:v>2015-10-12</c:v>
                </c:pt>
                <c:pt idx="777">
                  <c:v>2015-10-13</c:v>
                </c:pt>
                <c:pt idx="778">
                  <c:v>2015-10-18</c:v>
                </c:pt>
                <c:pt idx="779">
                  <c:v>2015-10-20</c:v>
                </c:pt>
                <c:pt idx="780">
                  <c:v>2015-10-21</c:v>
                </c:pt>
                <c:pt idx="781">
                  <c:v>2015-10-22</c:v>
                </c:pt>
                <c:pt idx="782">
                  <c:v>2015-10-25</c:v>
                </c:pt>
                <c:pt idx="783">
                  <c:v>2015-10-26</c:v>
                </c:pt>
                <c:pt idx="784">
                  <c:v>2015-10-27</c:v>
                </c:pt>
                <c:pt idx="785">
                  <c:v>2015-10-28</c:v>
                </c:pt>
                <c:pt idx="786">
                  <c:v>2015-10-29</c:v>
                </c:pt>
                <c:pt idx="787">
                  <c:v>2015-11-01</c:v>
                </c:pt>
                <c:pt idx="788">
                  <c:v>2015-11-02</c:v>
                </c:pt>
                <c:pt idx="789">
                  <c:v>2015-11-04</c:v>
                </c:pt>
                <c:pt idx="790">
                  <c:v>2015-11-05</c:v>
                </c:pt>
                <c:pt idx="791">
                  <c:v>2015-11-08</c:v>
                </c:pt>
                <c:pt idx="792">
                  <c:v>2015-11-09</c:v>
                </c:pt>
                <c:pt idx="793">
                  <c:v>2015-11-10</c:v>
                </c:pt>
                <c:pt idx="794">
                  <c:v>2015-11-11</c:v>
                </c:pt>
                <c:pt idx="795">
                  <c:v>2015-11-12</c:v>
                </c:pt>
                <c:pt idx="796">
                  <c:v>2015-11-15</c:v>
                </c:pt>
                <c:pt idx="797">
                  <c:v>2015-11-18</c:v>
                </c:pt>
                <c:pt idx="798">
                  <c:v>2015-11-19</c:v>
                </c:pt>
                <c:pt idx="799">
                  <c:v>2015-11-22</c:v>
                </c:pt>
                <c:pt idx="800">
                  <c:v>2015-11-23</c:v>
                </c:pt>
                <c:pt idx="801">
                  <c:v>2015-11-24</c:v>
                </c:pt>
                <c:pt idx="802">
                  <c:v>2015-11-25</c:v>
                </c:pt>
                <c:pt idx="803">
                  <c:v>2015-11-26</c:v>
                </c:pt>
                <c:pt idx="804">
                  <c:v>2015-11-29</c:v>
                </c:pt>
                <c:pt idx="805">
                  <c:v>2015-11-30</c:v>
                </c:pt>
                <c:pt idx="806">
                  <c:v>2015-12-02</c:v>
                </c:pt>
                <c:pt idx="807">
                  <c:v>2015-12-03</c:v>
                </c:pt>
                <c:pt idx="808">
                  <c:v>2015-12-07</c:v>
                </c:pt>
                <c:pt idx="809">
                  <c:v>2015-12-08</c:v>
                </c:pt>
                <c:pt idx="810">
                  <c:v>2015-12-10</c:v>
                </c:pt>
                <c:pt idx="811">
                  <c:v>2015-12-13</c:v>
                </c:pt>
                <c:pt idx="812">
                  <c:v>2015-12-14</c:v>
                </c:pt>
                <c:pt idx="813">
                  <c:v>2015-12-15</c:v>
                </c:pt>
                <c:pt idx="814">
                  <c:v>2015-12-17</c:v>
                </c:pt>
                <c:pt idx="815">
                  <c:v>2015-12-21</c:v>
                </c:pt>
                <c:pt idx="816">
                  <c:v>2015-12-22</c:v>
                </c:pt>
                <c:pt idx="817">
                  <c:v>2015-12-24</c:v>
                </c:pt>
                <c:pt idx="818">
                  <c:v>2015-12-27</c:v>
                </c:pt>
                <c:pt idx="819">
                  <c:v>2015-12-28</c:v>
                </c:pt>
                <c:pt idx="820">
                  <c:v>2015-12-29</c:v>
                </c:pt>
                <c:pt idx="821">
                  <c:v>2015-12-30</c:v>
                </c:pt>
                <c:pt idx="822">
                  <c:v>2015-12-31</c:v>
                </c:pt>
                <c:pt idx="823">
                  <c:v>2016-01-03</c:v>
                </c:pt>
                <c:pt idx="824">
                  <c:v>2016-01-04</c:v>
                </c:pt>
                <c:pt idx="825">
                  <c:v>2016-01-05</c:v>
                </c:pt>
                <c:pt idx="826">
                  <c:v>2016-01-10</c:v>
                </c:pt>
                <c:pt idx="827">
                  <c:v>2016-01-11</c:v>
                </c:pt>
                <c:pt idx="828">
                  <c:v>2016-01-12</c:v>
                </c:pt>
                <c:pt idx="829">
                  <c:v>2016-01-14</c:v>
                </c:pt>
                <c:pt idx="830">
                  <c:v>2016-01-17</c:v>
                </c:pt>
                <c:pt idx="831">
                  <c:v>2016-01-18</c:v>
                </c:pt>
                <c:pt idx="832">
                  <c:v>2016-01-19</c:v>
                </c:pt>
                <c:pt idx="833">
                  <c:v>2016-01-20</c:v>
                </c:pt>
                <c:pt idx="834">
                  <c:v>2016-01-26</c:v>
                </c:pt>
                <c:pt idx="835">
                  <c:v>2016-01-27</c:v>
                </c:pt>
                <c:pt idx="836">
                  <c:v>2016-01-28</c:v>
                </c:pt>
                <c:pt idx="837">
                  <c:v>2016-02-03</c:v>
                </c:pt>
                <c:pt idx="838">
                  <c:v>2016-02-04</c:v>
                </c:pt>
                <c:pt idx="839">
                  <c:v>2016-02-09</c:v>
                </c:pt>
                <c:pt idx="840">
                  <c:v>2016-02-11</c:v>
                </c:pt>
                <c:pt idx="841">
                  <c:v>2016-02-15</c:v>
                </c:pt>
                <c:pt idx="842">
                  <c:v>2016-02-16</c:v>
                </c:pt>
                <c:pt idx="843">
                  <c:v>2016-02-17</c:v>
                </c:pt>
                <c:pt idx="844">
                  <c:v>2016-02-21</c:v>
                </c:pt>
                <c:pt idx="845">
                  <c:v>2016-02-22</c:v>
                </c:pt>
                <c:pt idx="846">
                  <c:v>2016-02-23</c:v>
                </c:pt>
                <c:pt idx="847">
                  <c:v>2016-02-24</c:v>
                </c:pt>
                <c:pt idx="848">
                  <c:v>2016-02-28</c:v>
                </c:pt>
                <c:pt idx="849">
                  <c:v>2016-02-29</c:v>
                </c:pt>
                <c:pt idx="850">
                  <c:v>2016-03-02</c:v>
                </c:pt>
                <c:pt idx="851">
                  <c:v>2016-03-03</c:v>
                </c:pt>
                <c:pt idx="852">
                  <c:v>2016-03-06</c:v>
                </c:pt>
                <c:pt idx="853">
                  <c:v>2016-03-07</c:v>
                </c:pt>
                <c:pt idx="854">
                  <c:v>2016-03-08</c:v>
                </c:pt>
                <c:pt idx="855">
                  <c:v>2016-03-09</c:v>
                </c:pt>
                <c:pt idx="856">
                  <c:v>2016-03-10</c:v>
                </c:pt>
                <c:pt idx="857">
                  <c:v>2016-03-13</c:v>
                </c:pt>
                <c:pt idx="858">
                  <c:v>2016-03-14</c:v>
                </c:pt>
                <c:pt idx="859">
                  <c:v>2016-03-16</c:v>
                </c:pt>
                <c:pt idx="860">
                  <c:v>2016-03-17</c:v>
                </c:pt>
                <c:pt idx="861">
                  <c:v>2016-03-20</c:v>
                </c:pt>
                <c:pt idx="862">
                  <c:v>2016-03-21</c:v>
                </c:pt>
                <c:pt idx="863">
                  <c:v>2016-03-22</c:v>
                </c:pt>
                <c:pt idx="864">
                  <c:v>2016-03-24</c:v>
                </c:pt>
                <c:pt idx="865">
                  <c:v>2016-03-27</c:v>
                </c:pt>
                <c:pt idx="866">
                  <c:v>2016-03-28</c:v>
                </c:pt>
                <c:pt idx="867">
                  <c:v>2016-03-29</c:v>
                </c:pt>
                <c:pt idx="868">
                  <c:v>2016-03-30</c:v>
                </c:pt>
                <c:pt idx="869">
                  <c:v>2016-03-31</c:v>
                </c:pt>
                <c:pt idx="870">
                  <c:v>2016-04-03</c:v>
                </c:pt>
                <c:pt idx="871">
                  <c:v>2016-04-04</c:v>
                </c:pt>
                <c:pt idx="872">
                  <c:v>2016-04-05</c:v>
                </c:pt>
                <c:pt idx="873">
                  <c:v>2016-04-06</c:v>
                </c:pt>
                <c:pt idx="874">
                  <c:v>2016-04-07</c:v>
                </c:pt>
                <c:pt idx="875">
                  <c:v>2016-04-10</c:v>
                </c:pt>
                <c:pt idx="876">
                  <c:v>2016-04-11</c:v>
                </c:pt>
                <c:pt idx="877">
                  <c:v>2016-04-12</c:v>
                </c:pt>
                <c:pt idx="878">
                  <c:v>2016-04-13</c:v>
                </c:pt>
                <c:pt idx="879">
                  <c:v>2016-04-14</c:v>
                </c:pt>
                <c:pt idx="880">
                  <c:v>2016-04-17</c:v>
                </c:pt>
                <c:pt idx="881">
                  <c:v>2016-04-18</c:v>
                </c:pt>
                <c:pt idx="882">
                  <c:v>2016-04-19</c:v>
                </c:pt>
                <c:pt idx="883">
                  <c:v>2016-04-20</c:v>
                </c:pt>
                <c:pt idx="884">
                  <c:v>2016-04-21</c:v>
                </c:pt>
                <c:pt idx="885">
                  <c:v>2016-04-24</c:v>
                </c:pt>
                <c:pt idx="886">
                  <c:v>2016-04-26</c:v>
                </c:pt>
                <c:pt idx="887">
                  <c:v>2016-04-27</c:v>
                </c:pt>
                <c:pt idx="888">
                  <c:v>2016-04-28</c:v>
                </c:pt>
                <c:pt idx="889">
                  <c:v>2016-05-03</c:v>
                </c:pt>
                <c:pt idx="890">
                  <c:v>2016-05-04</c:v>
                </c:pt>
                <c:pt idx="891">
                  <c:v>2016-05-05</c:v>
                </c:pt>
                <c:pt idx="892">
                  <c:v>2016-05-08</c:v>
                </c:pt>
                <c:pt idx="893">
                  <c:v>2016-05-09</c:v>
                </c:pt>
                <c:pt idx="894">
                  <c:v>2016-05-10</c:v>
                </c:pt>
                <c:pt idx="895">
                  <c:v>2016-05-11</c:v>
                </c:pt>
                <c:pt idx="896">
                  <c:v>2016-05-12</c:v>
                </c:pt>
                <c:pt idx="897">
                  <c:v>2016-05-15</c:v>
                </c:pt>
                <c:pt idx="898">
                  <c:v>2016-05-16</c:v>
                </c:pt>
                <c:pt idx="899">
                  <c:v>2016-05-17</c:v>
                </c:pt>
                <c:pt idx="900">
                  <c:v>2016-05-18</c:v>
                </c:pt>
                <c:pt idx="901">
                  <c:v>2016-05-19</c:v>
                </c:pt>
                <c:pt idx="902">
                  <c:v>2016-05-22</c:v>
                </c:pt>
                <c:pt idx="903">
                  <c:v>2016-05-23</c:v>
                </c:pt>
                <c:pt idx="904">
                  <c:v>2016-05-24</c:v>
                </c:pt>
                <c:pt idx="905">
                  <c:v>2016-05-25</c:v>
                </c:pt>
                <c:pt idx="906">
                  <c:v>2016-05-29</c:v>
                </c:pt>
                <c:pt idx="907">
                  <c:v>2016-05-30</c:v>
                </c:pt>
                <c:pt idx="908">
                  <c:v>2016-05-31</c:v>
                </c:pt>
                <c:pt idx="909">
                  <c:v>2016-06-01</c:v>
                </c:pt>
                <c:pt idx="910">
                  <c:v>2016-06-02</c:v>
                </c:pt>
                <c:pt idx="911">
                  <c:v>2016-06-05</c:v>
                </c:pt>
                <c:pt idx="912">
                  <c:v>2016-06-06</c:v>
                </c:pt>
                <c:pt idx="913">
                  <c:v>2016-06-07</c:v>
                </c:pt>
                <c:pt idx="914">
                  <c:v>2016-06-08</c:v>
                </c:pt>
                <c:pt idx="915">
                  <c:v>2016-06-09</c:v>
                </c:pt>
                <c:pt idx="916">
                  <c:v>2016-06-12</c:v>
                </c:pt>
                <c:pt idx="917">
                  <c:v>2016-06-13</c:v>
                </c:pt>
                <c:pt idx="918">
                  <c:v>2016-06-14</c:v>
                </c:pt>
                <c:pt idx="919">
                  <c:v>2016-06-15</c:v>
                </c:pt>
                <c:pt idx="920">
                  <c:v>2016-06-16</c:v>
                </c:pt>
                <c:pt idx="921">
                  <c:v>2016-06-19</c:v>
                </c:pt>
                <c:pt idx="922">
                  <c:v>2016-06-20</c:v>
                </c:pt>
                <c:pt idx="923">
                  <c:v>2016-06-21</c:v>
                </c:pt>
                <c:pt idx="924">
                  <c:v>2016-06-23</c:v>
                </c:pt>
                <c:pt idx="925">
                  <c:v>2016-06-27</c:v>
                </c:pt>
                <c:pt idx="926">
                  <c:v>2016-06-28</c:v>
                </c:pt>
                <c:pt idx="927">
                  <c:v>2016-06-29</c:v>
                </c:pt>
                <c:pt idx="928">
                  <c:v>2016-07-04</c:v>
                </c:pt>
                <c:pt idx="929">
                  <c:v>2016-07-11</c:v>
                </c:pt>
                <c:pt idx="930">
                  <c:v>2016-07-12</c:v>
                </c:pt>
                <c:pt idx="931">
                  <c:v>2016-07-13</c:v>
                </c:pt>
                <c:pt idx="932">
                  <c:v>2016-07-14</c:v>
                </c:pt>
                <c:pt idx="933">
                  <c:v>2016-07-17</c:v>
                </c:pt>
                <c:pt idx="934">
                  <c:v>2016-07-18</c:v>
                </c:pt>
                <c:pt idx="935">
                  <c:v>2016-07-21</c:v>
                </c:pt>
                <c:pt idx="936">
                  <c:v>2016-07-24</c:v>
                </c:pt>
                <c:pt idx="937">
                  <c:v>2016-07-26</c:v>
                </c:pt>
                <c:pt idx="938">
                  <c:v>2016-07-27</c:v>
                </c:pt>
                <c:pt idx="939">
                  <c:v>2016-07-28</c:v>
                </c:pt>
                <c:pt idx="940">
                  <c:v>2016-07-31</c:v>
                </c:pt>
                <c:pt idx="941">
                  <c:v>2016-08-01</c:v>
                </c:pt>
                <c:pt idx="942">
                  <c:v>2016-08-04</c:v>
                </c:pt>
                <c:pt idx="943">
                  <c:v>2016-08-07</c:v>
                </c:pt>
                <c:pt idx="944">
                  <c:v>2016-08-08</c:v>
                </c:pt>
                <c:pt idx="945">
                  <c:v>2016-08-11</c:v>
                </c:pt>
                <c:pt idx="946">
                  <c:v>2016-08-14</c:v>
                </c:pt>
                <c:pt idx="947">
                  <c:v>2016-08-15</c:v>
                </c:pt>
                <c:pt idx="948">
                  <c:v>2016-08-18</c:v>
                </c:pt>
                <c:pt idx="949">
                  <c:v>2016-08-21</c:v>
                </c:pt>
                <c:pt idx="950">
                  <c:v>2016-08-22</c:v>
                </c:pt>
                <c:pt idx="951">
                  <c:v>2016-08-23</c:v>
                </c:pt>
                <c:pt idx="952">
                  <c:v>2016-08-24</c:v>
                </c:pt>
                <c:pt idx="953">
                  <c:v>2016-08-30</c:v>
                </c:pt>
                <c:pt idx="954">
                  <c:v>2016-09-04</c:v>
                </c:pt>
                <c:pt idx="955">
                  <c:v>2016-09-05</c:v>
                </c:pt>
                <c:pt idx="956">
                  <c:v>2016-09-06</c:v>
                </c:pt>
                <c:pt idx="957">
                  <c:v>2016-09-07</c:v>
                </c:pt>
                <c:pt idx="958">
                  <c:v>2016-09-15</c:v>
                </c:pt>
                <c:pt idx="959">
                  <c:v>2016-09-18</c:v>
                </c:pt>
                <c:pt idx="960">
                  <c:v>2016-09-19</c:v>
                </c:pt>
                <c:pt idx="961">
                  <c:v>2016-09-20</c:v>
                </c:pt>
                <c:pt idx="962">
                  <c:v>2016-09-22</c:v>
                </c:pt>
                <c:pt idx="963">
                  <c:v>2016-09-25</c:v>
                </c:pt>
                <c:pt idx="964">
                  <c:v>2016-09-26</c:v>
                </c:pt>
                <c:pt idx="965">
                  <c:v>2016-09-28</c:v>
                </c:pt>
                <c:pt idx="966">
                  <c:v>2016-10-04</c:v>
                </c:pt>
                <c:pt idx="967">
                  <c:v>2016-10-09</c:v>
                </c:pt>
                <c:pt idx="968">
                  <c:v>2016-10-10</c:v>
                </c:pt>
                <c:pt idx="969">
                  <c:v>2016-10-11</c:v>
                </c:pt>
                <c:pt idx="970">
                  <c:v>2016-10-12</c:v>
                </c:pt>
                <c:pt idx="971">
                  <c:v>2016-10-13</c:v>
                </c:pt>
                <c:pt idx="972">
                  <c:v>2016-10-16</c:v>
                </c:pt>
                <c:pt idx="973">
                  <c:v>2016-10-17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2016-10-23</c:v>
                </c:pt>
                <c:pt idx="977">
                  <c:v>2016-10-26</c:v>
                </c:pt>
                <c:pt idx="978">
                  <c:v>2016-10-30</c:v>
                </c:pt>
                <c:pt idx="979">
                  <c:v>2016-10-31</c:v>
                </c:pt>
                <c:pt idx="980">
                  <c:v>2016-11-02</c:v>
                </c:pt>
                <c:pt idx="981">
                  <c:v>2016-11-03</c:v>
                </c:pt>
                <c:pt idx="982">
                  <c:v>2016-11-06</c:v>
                </c:pt>
                <c:pt idx="983">
                  <c:v>2016-11-07</c:v>
                </c:pt>
                <c:pt idx="984">
                  <c:v>2016-11-09</c:v>
                </c:pt>
                <c:pt idx="985">
                  <c:v>2016-11-13</c:v>
                </c:pt>
                <c:pt idx="986">
                  <c:v>2016-11-14</c:v>
                </c:pt>
                <c:pt idx="987">
                  <c:v>2016-11-16</c:v>
                </c:pt>
                <c:pt idx="988">
                  <c:v>2016-11-17</c:v>
                </c:pt>
                <c:pt idx="989">
                  <c:v>2016-11-20</c:v>
                </c:pt>
                <c:pt idx="990">
                  <c:v>2016-11-21</c:v>
                </c:pt>
                <c:pt idx="991">
                  <c:v>2016-11-22</c:v>
                </c:pt>
                <c:pt idx="992">
                  <c:v>2016-11-23</c:v>
                </c:pt>
                <c:pt idx="993">
                  <c:v>2016-11-24</c:v>
                </c:pt>
                <c:pt idx="994">
                  <c:v>2016-11-27</c:v>
                </c:pt>
                <c:pt idx="995">
                  <c:v>2016-11-28</c:v>
                </c:pt>
                <c:pt idx="996">
                  <c:v>2016-11-30</c:v>
                </c:pt>
                <c:pt idx="997">
                  <c:v>2016-12-01</c:v>
                </c:pt>
                <c:pt idx="998">
                  <c:v>2016-12-04</c:v>
                </c:pt>
                <c:pt idx="999">
                  <c:v>2016-12-05</c:v>
                </c:pt>
                <c:pt idx="1000">
                  <c:v>2016-12-06</c:v>
                </c:pt>
                <c:pt idx="1001">
                  <c:v>2016-12-07</c:v>
                </c:pt>
                <c:pt idx="1002">
                  <c:v>2016-12-08</c:v>
                </c:pt>
                <c:pt idx="1003">
                  <c:v>2016-12-12</c:v>
                </c:pt>
                <c:pt idx="1004">
                  <c:v>2016-12-13</c:v>
                </c:pt>
                <c:pt idx="1005">
                  <c:v>2016-12-14</c:v>
                </c:pt>
                <c:pt idx="1006">
                  <c:v>2016-12-15</c:v>
                </c:pt>
                <c:pt idx="1007">
                  <c:v>2016-12-18</c:v>
                </c:pt>
                <c:pt idx="1008">
                  <c:v>2016-12-19</c:v>
                </c:pt>
                <c:pt idx="1009">
                  <c:v>2016-12-20</c:v>
                </c:pt>
                <c:pt idx="1010">
                  <c:v>2016-12-21</c:v>
                </c:pt>
                <c:pt idx="1011">
                  <c:v>2016-12-22</c:v>
                </c:pt>
                <c:pt idx="1012">
                  <c:v>2016-12-25</c:v>
                </c:pt>
                <c:pt idx="1013">
                  <c:v>2016-12-26</c:v>
                </c:pt>
                <c:pt idx="1014">
                  <c:v>2016-12-27</c:v>
                </c:pt>
                <c:pt idx="1015">
                  <c:v>2016-12-28</c:v>
                </c:pt>
                <c:pt idx="1016">
                  <c:v>2016-12-29</c:v>
                </c:pt>
                <c:pt idx="1017">
                  <c:v>2017-01-02</c:v>
                </c:pt>
                <c:pt idx="1018">
                  <c:v>2017-01-03</c:v>
                </c:pt>
                <c:pt idx="1019">
                  <c:v>2017-01-04</c:v>
                </c:pt>
                <c:pt idx="1020">
                  <c:v>2017-01-05</c:v>
                </c:pt>
                <c:pt idx="1021">
                  <c:v>2017-01-09</c:v>
                </c:pt>
                <c:pt idx="1022">
                  <c:v>2017-01-15</c:v>
                </c:pt>
                <c:pt idx="1023">
                  <c:v>2017-01-16</c:v>
                </c:pt>
                <c:pt idx="1024">
                  <c:v>2017-01-17</c:v>
                </c:pt>
                <c:pt idx="1025">
                  <c:v>2017-01-18</c:v>
                </c:pt>
                <c:pt idx="1026">
                  <c:v>2017-01-19</c:v>
                </c:pt>
                <c:pt idx="1027">
                  <c:v>2017-01-22</c:v>
                </c:pt>
                <c:pt idx="1028">
                  <c:v>2017-01-23</c:v>
                </c:pt>
                <c:pt idx="1029">
                  <c:v>2017-01-24</c:v>
                </c:pt>
                <c:pt idx="1030">
                  <c:v>2017-01-26</c:v>
                </c:pt>
                <c:pt idx="1031">
                  <c:v>2017-01-29</c:v>
                </c:pt>
                <c:pt idx="1032">
                  <c:v>2017-01-31</c:v>
                </c:pt>
                <c:pt idx="1033">
                  <c:v>2017-02-01</c:v>
                </c:pt>
                <c:pt idx="1034">
                  <c:v>2017-02-02</c:v>
                </c:pt>
                <c:pt idx="1035">
                  <c:v>2017-02-05</c:v>
                </c:pt>
                <c:pt idx="1036">
                  <c:v>2017-02-06</c:v>
                </c:pt>
                <c:pt idx="1037">
                  <c:v>2017-02-07</c:v>
                </c:pt>
                <c:pt idx="1038">
                  <c:v>2017-02-08</c:v>
                </c:pt>
                <c:pt idx="1039">
                  <c:v>2017-02-09</c:v>
                </c:pt>
                <c:pt idx="1040">
                  <c:v>2017-02-12</c:v>
                </c:pt>
                <c:pt idx="1041">
                  <c:v>2017-02-13</c:v>
                </c:pt>
                <c:pt idx="1042">
                  <c:v>2017-02-14</c:v>
                </c:pt>
                <c:pt idx="1043">
                  <c:v>2017-02-15</c:v>
                </c:pt>
                <c:pt idx="1044">
                  <c:v>2017-02-16</c:v>
                </c:pt>
                <c:pt idx="1045">
                  <c:v>2017-02-19</c:v>
                </c:pt>
                <c:pt idx="1046">
                  <c:v>2017-02-20</c:v>
                </c:pt>
                <c:pt idx="1047">
                  <c:v>2017-02-21</c:v>
                </c:pt>
                <c:pt idx="1048">
                  <c:v>2017-02-22</c:v>
                </c:pt>
                <c:pt idx="1049">
                  <c:v>2017-02-23</c:v>
                </c:pt>
                <c:pt idx="1050">
                  <c:v>2017-02-26</c:v>
                </c:pt>
                <c:pt idx="1051">
                  <c:v>2017-02-27</c:v>
                </c:pt>
                <c:pt idx="1052">
                  <c:v>2017-02-28</c:v>
                </c:pt>
                <c:pt idx="1053">
                  <c:v>2017-03-01</c:v>
                </c:pt>
                <c:pt idx="1054">
                  <c:v>2017-03-02</c:v>
                </c:pt>
                <c:pt idx="1055">
                  <c:v>2017-03-05</c:v>
                </c:pt>
                <c:pt idx="1056">
                  <c:v>2017-03-06</c:v>
                </c:pt>
                <c:pt idx="1057">
                  <c:v>2017-03-07</c:v>
                </c:pt>
                <c:pt idx="1058">
                  <c:v>2017-03-08</c:v>
                </c:pt>
                <c:pt idx="1059">
                  <c:v>2017-03-09</c:v>
                </c:pt>
                <c:pt idx="1060">
                  <c:v>2017-03-12</c:v>
                </c:pt>
                <c:pt idx="1061">
                  <c:v>2017-03-13</c:v>
                </c:pt>
                <c:pt idx="1062">
                  <c:v>2017-03-14</c:v>
                </c:pt>
                <c:pt idx="1063">
                  <c:v>2017-03-15</c:v>
                </c:pt>
                <c:pt idx="1064">
                  <c:v>2017-03-16</c:v>
                </c:pt>
                <c:pt idx="1065">
                  <c:v>2017-03-19</c:v>
                </c:pt>
                <c:pt idx="1066">
                  <c:v>2017-03-20</c:v>
                </c:pt>
                <c:pt idx="1067">
                  <c:v>2017-03-21</c:v>
                </c:pt>
                <c:pt idx="1068">
                  <c:v>2017-03-22</c:v>
                </c:pt>
                <c:pt idx="1069">
                  <c:v>2017-03-23</c:v>
                </c:pt>
                <c:pt idx="1070">
                  <c:v>2017-03-26</c:v>
                </c:pt>
                <c:pt idx="1071">
                  <c:v>2017-03-27</c:v>
                </c:pt>
                <c:pt idx="1072">
                  <c:v>2017-03-28</c:v>
                </c:pt>
                <c:pt idx="1073">
                  <c:v>2017-03-29</c:v>
                </c:pt>
                <c:pt idx="1074">
                  <c:v>2017-03-30</c:v>
                </c:pt>
                <c:pt idx="1075">
                  <c:v>2017-04-02</c:v>
                </c:pt>
                <c:pt idx="1076">
                  <c:v>2017-04-03</c:v>
                </c:pt>
                <c:pt idx="1077">
                  <c:v>2017-04-04</c:v>
                </c:pt>
                <c:pt idx="1078">
                  <c:v>2017-04-05</c:v>
                </c:pt>
                <c:pt idx="1079">
                  <c:v>2017-04-06</c:v>
                </c:pt>
                <c:pt idx="1080">
                  <c:v>2017-04-09</c:v>
                </c:pt>
                <c:pt idx="1081">
                  <c:v>2017-04-10</c:v>
                </c:pt>
                <c:pt idx="1082">
                  <c:v>2017-04-11</c:v>
                </c:pt>
                <c:pt idx="1083">
                  <c:v>2017-04-12</c:v>
                </c:pt>
                <c:pt idx="1084">
                  <c:v>2017-04-13</c:v>
                </c:pt>
                <c:pt idx="1085">
                  <c:v>2017-04-18</c:v>
                </c:pt>
                <c:pt idx="1086">
                  <c:v>2017-04-19</c:v>
                </c:pt>
                <c:pt idx="1087">
                  <c:v>2017-04-20</c:v>
                </c:pt>
                <c:pt idx="1088">
                  <c:v>2017-04-23</c:v>
                </c:pt>
                <c:pt idx="1089">
                  <c:v>2017-04-24</c:v>
                </c:pt>
                <c:pt idx="1090">
                  <c:v>2017-04-26</c:v>
                </c:pt>
                <c:pt idx="1091">
                  <c:v>2017-04-27</c:v>
                </c:pt>
                <c:pt idx="1092">
                  <c:v>2017-04-30</c:v>
                </c:pt>
                <c:pt idx="1093">
                  <c:v>2017-05-02</c:v>
                </c:pt>
                <c:pt idx="1094">
                  <c:v>2017-05-03</c:v>
                </c:pt>
                <c:pt idx="1095">
                  <c:v>2017-05-04</c:v>
                </c:pt>
                <c:pt idx="1096">
                  <c:v>2017-05-07</c:v>
                </c:pt>
                <c:pt idx="1097">
                  <c:v>2017-05-08</c:v>
                </c:pt>
                <c:pt idx="1098">
                  <c:v>2017-05-09</c:v>
                </c:pt>
                <c:pt idx="1099">
                  <c:v>2017-05-10</c:v>
                </c:pt>
                <c:pt idx="1100">
                  <c:v>2017-05-11</c:v>
                </c:pt>
                <c:pt idx="1101">
                  <c:v>2017-05-14</c:v>
                </c:pt>
                <c:pt idx="1102">
                  <c:v>2017-05-15</c:v>
                </c:pt>
                <c:pt idx="1103">
                  <c:v>2017-05-16</c:v>
                </c:pt>
                <c:pt idx="1104">
                  <c:v>2017-05-17</c:v>
                </c:pt>
                <c:pt idx="1105">
                  <c:v>2017-05-18</c:v>
                </c:pt>
                <c:pt idx="1106">
                  <c:v>2017-05-21</c:v>
                </c:pt>
                <c:pt idx="1107">
                  <c:v>2017-05-22</c:v>
                </c:pt>
                <c:pt idx="1108">
                  <c:v>2017-05-23</c:v>
                </c:pt>
                <c:pt idx="1109">
                  <c:v>2017-05-24</c:v>
                </c:pt>
                <c:pt idx="1110">
                  <c:v>2017-05-25</c:v>
                </c:pt>
                <c:pt idx="1111">
                  <c:v>2017-05-28</c:v>
                </c:pt>
                <c:pt idx="1112">
                  <c:v>2017-05-29</c:v>
                </c:pt>
                <c:pt idx="1113">
                  <c:v>2017-05-30</c:v>
                </c:pt>
                <c:pt idx="1114">
                  <c:v>2017-05-31</c:v>
                </c:pt>
                <c:pt idx="1115">
                  <c:v>2017-06-01</c:v>
                </c:pt>
                <c:pt idx="1116">
                  <c:v>2017-06-04</c:v>
                </c:pt>
                <c:pt idx="1117">
                  <c:v>2017-06-05</c:v>
                </c:pt>
                <c:pt idx="1118">
                  <c:v>2017-06-06</c:v>
                </c:pt>
                <c:pt idx="1119">
                  <c:v>2017-06-07</c:v>
                </c:pt>
                <c:pt idx="1120">
                  <c:v>2017-06-08</c:v>
                </c:pt>
                <c:pt idx="1121">
                  <c:v>2017-06-11</c:v>
                </c:pt>
                <c:pt idx="1122">
                  <c:v>2017-06-12</c:v>
                </c:pt>
                <c:pt idx="1123">
                  <c:v>2017-06-13</c:v>
                </c:pt>
                <c:pt idx="1124">
                  <c:v>2017-06-14</c:v>
                </c:pt>
                <c:pt idx="1125">
                  <c:v>2017-06-15</c:v>
                </c:pt>
                <c:pt idx="1126">
                  <c:v>2017-06-18</c:v>
                </c:pt>
                <c:pt idx="1127">
                  <c:v>2017-06-19</c:v>
                </c:pt>
                <c:pt idx="1128">
                  <c:v>2017-06-20</c:v>
                </c:pt>
                <c:pt idx="1129">
                  <c:v>2017-06-21</c:v>
                </c:pt>
                <c:pt idx="1130">
                  <c:v>2017-06-22</c:v>
                </c:pt>
                <c:pt idx="1131">
                  <c:v>2017-06-28</c:v>
                </c:pt>
                <c:pt idx="1132">
                  <c:v>2017-07-02</c:v>
                </c:pt>
                <c:pt idx="1133">
                  <c:v>2017-07-03</c:v>
                </c:pt>
                <c:pt idx="1134">
                  <c:v>2017-07-04</c:v>
                </c:pt>
                <c:pt idx="1135">
                  <c:v>2017-07-05</c:v>
                </c:pt>
                <c:pt idx="1136">
                  <c:v>2017-07-06</c:v>
                </c:pt>
                <c:pt idx="1137">
                  <c:v>2017-07-09</c:v>
                </c:pt>
                <c:pt idx="1138">
                  <c:v>2017-07-10</c:v>
                </c:pt>
                <c:pt idx="1139">
                  <c:v>2017-07-11</c:v>
                </c:pt>
                <c:pt idx="1140">
                  <c:v>2017-07-12</c:v>
                </c:pt>
                <c:pt idx="1141">
                  <c:v>2017-07-13</c:v>
                </c:pt>
                <c:pt idx="1142">
                  <c:v>2017-07-16</c:v>
                </c:pt>
                <c:pt idx="1143">
                  <c:v>2017-07-17</c:v>
                </c:pt>
                <c:pt idx="1144">
                  <c:v>2017-07-18</c:v>
                </c:pt>
                <c:pt idx="1145">
                  <c:v>2017-07-19</c:v>
                </c:pt>
                <c:pt idx="1146">
                  <c:v>2017-07-20</c:v>
                </c:pt>
                <c:pt idx="1147">
                  <c:v>2017-07-24</c:v>
                </c:pt>
                <c:pt idx="1148">
                  <c:v>2017-07-25</c:v>
                </c:pt>
                <c:pt idx="1149">
                  <c:v>2017-07-26</c:v>
                </c:pt>
                <c:pt idx="1150">
                  <c:v>2017-07-27</c:v>
                </c:pt>
                <c:pt idx="1151">
                  <c:v>2017-07-30</c:v>
                </c:pt>
                <c:pt idx="1152">
                  <c:v>2017-07-31</c:v>
                </c:pt>
                <c:pt idx="1153">
                  <c:v>2017-08-01</c:v>
                </c:pt>
                <c:pt idx="1154">
                  <c:v>2017-08-02</c:v>
                </c:pt>
                <c:pt idx="1155">
                  <c:v>2017-08-03</c:v>
                </c:pt>
                <c:pt idx="1156">
                  <c:v>2017-08-06</c:v>
                </c:pt>
                <c:pt idx="1157">
                  <c:v>2017-08-07</c:v>
                </c:pt>
                <c:pt idx="1158">
                  <c:v>2017-08-08</c:v>
                </c:pt>
                <c:pt idx="1159">
                  <c:v>2017-08-09</c:v>
                </c:pt>
                <c:pt idx="1160">
                  <c:v>2017-08-10</c:v>
                </c:pt>
                <c:pt idx="1161">
                  <c:v>2017-08-13</c:v>
                </c:pt>
                <c:pt idx="1162">
                  <c:v>2017-08-14</c:v>
                </c:pt>
                <c:pt idx="1163">
                  <c:v>2017-08-15</c:v>
                </c:pt>
                <c:pt idx="1164">
                  <c:v>2017-08-16</c:v>
                </c:pt>
                <c:pt idx="1165">
                  <c:v>2017-08-17</c:v>
                </c:pt>
                <c:pt idx="1166">
                  <c:v>2017-08-20</c:v>
                </c:pt>
                <c:pt idx="1167">
                  <c:v>2017-08-21</c:v>
                </c:pt>
                <c:pt idx="1168">
                  <c:v>2017-08-22</c:v>
                </c:pt>
                <c:pt idx="1169">
                  <c:v>2017-08-23</c:v>
                </c:pt>
                <c:pt idx="1170">
                  <c:v>2017-08-24</c:v>
                </c:pt>
                <c:pt idx="1171">
                  <c:v>2017-08-27</c:v>
                </c:pt>
                <c:pt idx="1172">
                  <c:v>2017-08-28</c:v>
                </c:pt>
                <c:pt idx="1173">
                  <c:v>2017-08-29</c:v>
                </c:pt>
                <c:pt idx="1174">
                  <c:v>2017-08-30</c:v>
                </c:pt>
                <c:pt idx="1175">
                  <c:v>2017-09-05</c:v>
                </c:pt>
                <c:pt idx="1176">
                  <c:v>2017-09-06</c:v>
                </c:pt>
                <c:pt idx="1177">
                  <c:v>2017-09-07</c:v>
                </c:pt>
                <c:pt idx="1178">
                  <c:v>2017-09-10</c:v>
                </c:pt>
                <c:pt idx="1179">
                  <c:v>2017-09-11</c:v>
                </c:pt>
                <c:pt idx="1180">
                  <c:v>2017-09-12</c:v>
                </c:pt>
                <c:pt idx="1181">
                  <c:v>2017-09-13</c:v>
                </c:pt>
                <c:pt idx="1182">
                  <c:v>2017-09-14</c:v>
                </c:pt>
                <c:pt idx="1183">
                  <c:v>2017-09-17</c:v>
                </c:pt>
                <c:pt idx="1184">
                  <c:v>2017-09-18</c:v>
                </c:pt>
                <c:pt idx="1185">
                  <c:v>2017-09-19</c:v>
                </c:pt>
                <c:pt idx="1186">
                  <c:v>2017-09-20</c:v>
                </c:pt>
                <c:pt idx="1187">
                  <c:v>2017-09-24</c:v>
                </c:pt>
                <c:pt idx="1188">
                  <c:v>2017-09-25</c:v>
                </c:pt>
                <c:pt idx="1189">
                  <c:v>2017-09-26</c:v>
                </c:pt>
                <c:pt idx="1190">
                  <c:v>2017-09-27</c:v>
                </c:pt>
                <c:pt idx="1191">
                  <c:v>2017-09-28</c:v>
                </c:pt>
                <c:pt idx="1192">
                  <c:v>2017-10-01</c:v>
                </c:pt>
                <c:pt idx="1193">
                  <c:v>2017-10-02</c:v>
                </c:pt>
                <c:pt idx="1194">
                  <c:v>2017-10-03</c:v>
                </c:pt>
                <c:pt idx="1195">
                  <c:v>2017-10-04</c:v>
                </c:pt>
                <c:pt idx="1196">
                  <c:v>2017-10-08</c:v>
                </c:pt>
                <c:pt idx="1197">
                  <c:v>2017-10-09</c:v>
                </c:pt>
                <c:pt idx="1198">
                  <c:v>2017-10-10</c:v>
                </c:pt>
                <c:pt idx="1199">
                  <c:v>2017-10-11</c:v>
                </c:pt>
                <c:pt idx="1200">
                  <c:v>2017-10-12</c:v>
                </c:pt>
                <c:pt idx="1201">
                  <c:v>2017-10-15</c:v>
                </c:pt>
                <c:pt idx="1202">
                  <c:v>2017-10-16</c:v>
                </c:pt>
                <c:pt idx="1203">
                  <c:v>2017-10-17</c:v>
                </c:pt>
                <c:pt idx="1204">
                  <c:v>2017-10-18</c:v>
                </c:pt>
                <c:pt idx="1205">
                  <c:v>2017-10-19</c:v>
                </c:pt>
                <c:pt idx="1206">
                  <c:v>2017-10-22</c:v>
                </c:pt>
                <c:pt idx="1207">
                  <c:v>2017-10-23</c:v>
                </c:pt>
                <c:pt idx="1208">
                  <c:v>2017-10-24</c:v>
                </c:pt>
                <c:pt idx="1209">
                  <c:v>2017-10-25</c:v>
                </c:pt>
                <c:pt idx="1210">
                  <c:v>2017-10-26</c:v>
                </c:pt>
                <c:pt idx="1211">
                  <c:v>2017-10-29</c:v>
                </c:pt>
                <c:pt idx="1212">
                  <c:v>2017-10-30</c:v>
                </c:pt>
                <c:pt idx="1213">
                  <c:v>2017-10-31</c:v>
                </c:pt>
                <c:pt idx="1214">
                  <c:v>2017-11-01</c:v>
                </c:pt>
                <c:pt idx="1215">
                  <c:v>2017-11-02</c:v>
                </c:pt>
                <c:pt idx="1216">
                  <c:v>2017-11-05</c:v>
                </c:pt>
                <c:pt idx="1217">
                  <c:v>2017-11-06</c:v>
                </c:pt>
                <c:pt idx="1218">
                  <c:v>2017-11-07</c:v>
                </c:pt>
                <c:pt idx="1219">
                  <c:v>2017-11-08</c:v>
                </c:pt>
                <c:pt idx="1220">
                  <c:v>2017-11-09</c:v>
                </c:pt>
                <c:pt idx="1221">
                  <c:v>2017-11-12</c:v>
                </c:pt>
                <c:pt idx="1222">
                  <c:v>2017-11-13</c:v>
                </c:pt>
                <c:pt idx="1223">
                  <c:v>2017-11-14</c:v>
                </c:pt>
                <c:pt idx="1224">
                  <c:v>2017-11-15</c:v>
                </c:pt>
                <c:pt idx="1225">
                  <c:v>2017-11-16</c:v>
                </c:pt>
                <c:pt idx="1226">
                  <c:v>2017-11-19</c:v>
                </c:pt>
                <c:pt idx="1227">
                  <c:v>2017-11-20</c:v>
                </c:pt>
                <c:pt idx="1228">
                  <c:v>2017-11-21</c:v>
                </c:pt>
                <c:pt idx="1229">
                  <c:v>2017-11-22</c:v>
                </c:pt>
                <c:pt idx="1230">
                  <c:v>2017-11-23</c:v>
                </c:pt>
                <c:pt idx="1231">
                  <c:v>2017-11-26</c:v>
                </c:pt>
                <c:pt idx="1232">
                  <c:v>2017-11-27</c:v>
                </c:pt>
                <c:pt idx="1233">
                  <c:v>2017-11-28</c:v>
                </c:pt>
                <c:pt idx="1234">
                  <c:v>2017-11-29</c:v>
                </c:pt>
                <c:pt idx="1235">
                  <c:v>2017-12-03</c:v>
                </c:pt>
                <c:pt idx="1236">
                  <c:v>2017-12-04</c:v>
                </c:pt>
                <c:pt idx="1237">
                  <c:v>2017-12-05</c:v>
                </c:pt>
                <c:pt idx="1238">
                  <c:v>2017-12-06</c:v>
                </c:pt>
                <c:pt idx="1239">
                  <c:v>2017-12-07</c:v>
                </c:pt>
                <c:pt idx="1240">
                  <c:v>2017-12-10</c:v>
                </c:pt>
                <c:pt idx="1241">
                  <c:v>2017-12-11</c:v>
                </c:pt>
                <c:pt idx="1242">
                  <c:v>2017-12-12</c:v>
                </c:pt>
                <c:pt idx="1243">
                  <c:v>2017-12-13</c:v>
                </c:pt>
                <c:pt idx="1244">
                  <c:v>2017-12-14</c:v>
                </c:pt>
                <c:pt idx="1245">
                  <c:v>2017-12-17</c:v>
                </c:pt>
                <c:pt idx="1246">
                  <c:v>2017-12-18</c:v>
                </c:pt>
                <c:pt idx="1247">
                  <c:v>2017-12-19</c:v>
                </c:pt>
                <c:pt idx="1248">
                  <c:v>2017-12-20</c:v>
                </c:pt>
                <c:pt idx="1249">
                  <c:v>2017-12-21</c:v>
                </c:pt>
                <c:pt idx="1250">
                  <c:v>2017-12-25</c:v>
                </c:pt>
                <c:pt idx="1251">
                  <c:v>2017-12-27</c:v>
                </c:pt>
                <c:pt idx="1252">
                  <c:v>2017-12-28</c:v>
                </c:pt>
                <c:pt idx="1253">
                  <c:v>2017-12-31</c:v>
                </c:pt>
              </c:strCache>
            </c:strRef>
          </c:cat>
          <c:val>
            <c:numRef>
              <c:f>Stock!$B$1052:$B$2305</c:f>
              <c:numCache>
                <c:formatCode>General</c:formatCode>
                <c:ptCount val="1254"/>
                <c:pt idx="0">
                  <c:v>31.05</c:v>
                </c:pt>
                <c:pt idx="1">
                  <c:v>30.29</c:v>
                </c:pt>
                <c:pt idx="2">
                  <c:v>30.36</c:v>
                </c:pt>
                <c:pt idx="3">
                  <c:v>29.6</c:v>
                </c:pt>
                <c:pt idx="4">
                  <c:v>28.14</c:v>
                </c:pt>
                <c:pt idx="5">
                  <c:v>28.43</c:v>
                </c:pt>
                <c:pt idx="6">
                  <c:v>28.78</c:v>
                </c:pt>
                <c:pt idx="7">
                  <c:v>29.29</c:v>
                </c:pt>
                <c:pt idx="8">
                  <c:v>28.52</c:v>
                </c:pt>
                <c:pt idx="9">
                  <c:v>28.65</c:v>
                </c:pt>
                <c:pt idx="10">
                  <c:v>28.43</c:v>
                </c:pt>
                <c:pt idx="11">
                  <c:v>27.64</c:v>
                </c:pt>
                <c:pt idx="12">
                  <c:v>26.35</c:v>
                </c:pt>
                <c:pt idx="13">
                  <c:v>27.14</c:v>
                </c:pt>
                <c:pt idx="14">
                  <c:v>28.6</c:v>
                </c:pt>
                <c:pt idx="15">
                  <c:v>31.07</c:v>
                </c:pt>
                <c:pt idx="16">
                  <c:v>30.98</c:v>
                </c:pt>
                <c:pt idx="17">
                  <c:v>30.7</c:v>
                </c:pt>
                <c:pt idx="18">
                  <c:v>31.51</c:v>
                </c:pt>
                <c:pt idx="19">
                  <c:v>31.45</c:v>
                </c:pt>
                <c:pt idx="20">
                  <c:v>30.29</c:v>
                </c:pt>
                <c:pt idx="21">
                  <c:v>29.64</c:v>
                </c:pt>
                <c:pt idx="22">
                  <c:v>30.03</c:v>
                </c:pt>
                <c:pt idx="23">
                  <c:v>30.2</c:v>
                </c:pt>
                <c:pt idx="24">
                  <c:v>29.6</c:v>
                </c:pt>
                <c:pt idx="25">
                  <c:v>31.66</c:v>
                </c:pt>
                <c:pt idx="26">
                  <c:v>33.51</c:v>
                </c:pt>
                <c:pt idx="27">
                  <c:v>34.119999999999997</c:v>
                </c:pt>
                <c:pt idx="28">
                  <c:v>33.71</c:v>
                </c:pt>
                <c:pt idx="29">
                  <c:v>34.229999999999997</c:v>
                </c:pt>
                <c:pt idx="30">
                  <c:v>33.270000000000003</c:v>
                </c:pt>
                <c:pt idx="31">
                  <c:v>31.97</c:v>
                </c:pt>
                <c:pt idx="32">
                  <c:v>31.88</c:v>
                </c:pt>
                <c:pt idx="33">
                  <c:v>33.89</c:v>
                </c:pt>
                <c:pt idx="34">
                  <c:v>33.799999999999997</c:v>
                </c:pt>
                <c:pt idx="35">
                  <c:v>33.28</c:v>
                </c:pt>
                <c:pt idx="36">
                  <c:v>33.64</c:v>
                </c:pt>
                <c:pt idx="37">
                  <c:v>35.78</c:v>
                </c:pt>
                <c:pt idx="38">
                  <c:v>36.31</c:v>
                </c:pt>
                <c:pt idx="39">
                  <c:v>37.36</c:v>
                </c:pt>
                <c:pt idx="40">
                  <c:v>37</c:v>
                </c:pt>
                <c:pt idx="41">
                  <c:v>36.25</c:v>
                </c:pt>
                <c:pt idx="42">
                  <c:v>34.950000000000003</c:v>
                </c:pt>
                <c:pt idx="43">
                  <c:v>34.71</c:v>
                </c:pt>
                <c:pt idx="44">
                  <c:v>34.020000000000003</c:v>
                </c:pt>
                <c:pt idx="45">
                  <c:v>33.14</c:v>
                </c:pt>
                <c:pt idx="46">
                  <c:v>33.520000000000003</c:v>
                </c:pt>
                <c:pt idx="47">
                  <c:v>33.659999999999997</c:v>
                </c:pt>
                <c:pt idx="48">
                  <c:v>32.82</c:v>
                </c:pt>
                <c:pt idx="49">
                  <c:v>32.68</c:v>
                </c:pt>
                <c:pt idx="50">
                  <c:v>33.450000000000003</c:v>
                </c:pt>
                <c:pt idx="51">
                  <c:v>33.770000000000003</c:v>
                </c:pt>
                <c:pt idx="52">
                  <c:v>32.869999999999997</c:v>
                </c:pt>
                <c:pt idx="53">
                  <c:v>31.46</c:v>
                </c:pt>
                <c:pt idx="54">
                  <c:v>30.82</c:v>
                </c:pt>
                <c:pt idx="55">
                  <c:v>31.24</c:v>
                </c:pt>
                <c:pt idx="56">
                  <c:v>30.98</c:v>
                </c:pt>
                <c:pt idx="57">
                  <c:v>31.21</c:v>
                </c:pt>
                <c:pt idx="58">
                  <c:v>30.11</c:v>
                </c:pt>
                <c:pt idx="59">
                  <c:v>31.13</c:v>
                </c:pt>
                <c:pt idx="60">
                  <c:v>30.26</c:v>
                </c:pt>
                <c:pt idx="61">
                  <c:v>29.78</c:v>
                </c:pt>
                <c:pt idx="62">
                  <c:v>29.75</c:v>
                </c:pt>
                <c:pt idx="63">
                  <c:v>28.53</c:v>
                </c:pt>
                <c:pt idx="64">
                  <c:v>28.25</c:v>
                </c:pt>
                <c:pt idx="65">
                  <c:v>29.08</c:v>
                </c:pt>
                <c:pt idx="66">
                  <c:v>29.15</c:v>
                </c:pt>
                <c:pt idx="67">
                  <c:v>27.69</c:v>
                </c:pt>
                <c:pt idx="68">
                  <c:v>28.01</c:v>
                </c:pt>
                <c:pt idx="69">
                  <c:v>28.81</c:v>
                </c:pt>
                <c:pt idx="70">
                  <c:v>30.26</c:v>
                </c:pt>
                <c:pt idx="71">
                  <c:v>29.97</c:v>
                </c:pt>
                <c:pt idx="72">
                  <c:v>29.56</c:v>
                </c:pt>
                <c:pt idx="73">
                  <c:v>29.48</c:v>
                </c:pt>
                <c:pt idx="74">
                  <c:v>29.24</c:v>
                </c:pt>
                <c:pt idx="75">
                  <c:v>29.82</c:v>
                </c:pt>
                <c:pt idx="76">
                  <c:v>28.65</c:v>
                </c:pt>
                <c:pt idx="77">
                  <c:v>29.04</c:v>
                </c:pt>
                <c:pt idx="78">
                  <c:v>29.94</c:v>
                </c:pt>
                <c:pt idx="79">
                  <c:v>29.81</c:v>
                </c:pt>
                <c:pt idx="80">
                  <c:v>29.7</c:v>
                </c:pt>
                <c:pt idx="81">
                  <c:v>29.32</c:v>
                </c:pt>
                <c:pt idx="82">
                  <c:v>28.97</c:v>
                </c:pt>
                <c:pt idx="83">
                  <c:v>30.14</c:v>
                </c:pt>
                <c:pt idx="84">
                  <c:v>30.82</c:v>
                </c:pt>
                <c:pt idx="85">
                  <c:v>30.77</c:v>
                </c:pt>
                <c:pt idx="86">
                  <c:v>31</c:v>
                </c:pt>
                <c:pt idx="87">
                  <c:v>31.2</c:v>
                </c:pt>
                <c:pt idx="88">
                  <c:v>31.03</c:v>
                </c:pt>
                <c:pt idx="89">
                  <c:v>32.35</c:v>
                </c:pt>
                <c:pt idx="90">
                  <c:v>30.56</c:v>
                </c:pt>
                <c:pt idx="91">
                  <c:v>29.41</c:v>
                </c:pt>
                <c:pt idx="92">
                  <c:v>29.25</c:v>
                </c:pt>
                <c:pt idx="93">
                  <c:v>28.39</c:v>
                </c:pt>
                <c:pt idx="94">
                  <c:v>29.08</c:v>
                </c:pt>
                <c:pt idx="95">
                  <c:v>28.5</c:v>
                </c:pt>
                <c:pt idx="96">
                  <c:v>28.5</c:v>
                </c:pt>
                <c:pt idx="97">
                  <c:v>28.06</c:v>
                </c:pt>
                <c:pt idx="98">
                  <c:v>29.16</c:v>
                </c:pt>
                <c:pt idx="99">
                  <c:v>30.07</c:v>
                </c:pt>
                <c:pt idx="100">
                  <c:v>30.03</c:v>
                </c:pt>
                <c:pt idx="101">
                  <c:v>32.03</c:v>
                </c:pt>
                <c:pt idx="102">
                  <c:v>31.27</c:v>
                </c:pt>
                <c:pt idx="103">
                  <c:v>32.11</c:v>
                </c:pt>
                <c:pt idx="104">
                  <c:v>32.479999999999997</c:v>
                </c:pt>
                <c:pt idx="105">
                  <c:v>32.85</c:v>
                </c:pt>
                <c:pt idx="106">
                  <c:v>32.130000000000003</c:v>
                </c:pt>
                <c:pt idx="107">
                  <c:v>32.68</c:v>
                </c:pt>
                <c:pt idx="108">
                  <c:v>32.1</c:v>
                </c:pt>
                <c:pt idx="109">
                  <c:v>30.77</c:v>
                </c:pt>
                <c:pt idx="110">
                  <c:v>30.05</c:v>
                </c:pt>
                <c:pt idx="111">
                  <c:v>31.84</c:v>
                </c:pt>
                <c:pt idx="112">
                  <c:v>31.12</c:v>
                </c:pt>
                <c:pt idx="113">
                  <c:v>31.66</c:v>
                </c:pt>
                <c:pt idx="114">
                  <c:v>30.31</c:v>
                </c:pt>
                <c:pt idx="115">
                  <c:v>30.92</c:v>
                </c:pt>
                <c:pt idx="116">
                  <c:v>31.86</c:v>
                </c:pt>
                <c:pt idx="117">
                  <c:v>30.91</c:v>
                </c:pt>
                <c:pt idx="118">
                  <c:v>32.26</c:v>
                </c:pt>
                <c:pt idx="119">
                  <c:v>32</c:v>
                </c:pt>
                <c:pt idx="120">
                  <c:v>31.79</c:v>
                </c:pt>
                <c:pt idx="121">
                  <c:v>32.26</c:v>
                </c:pt>
                <c:pt idx="122">
                  <c:v>32.08</c:v>
                </c:pt>
                <c:pt idx="123">
                  <c:v>32.159999999999997</c:v>
                </c:pt>
                <c:pt idx="124">
                  <c:v>32.29</c:v>
                </c:pt>
                <c:pt idx="125">
                  <c:v>31.9</c:v>
                </c:pt>
                <c:pt idx="126">
                  <c:v>31.69</c:v>
                </c:pt>
                <c:pt idx="127">
                  <c:v>31.25</c:v>
                </c:pt>
                <c:pt idx="128">
                  <c:v>31.31</c:v>
                </c:pt>
                <c:pt idx="129">
                  <c:v>31.15</c:v>
                </c:pt>
                <c:pt idx="130">
                  <c:v>32.32</c:v>
                </c:pt>
                <c:pt idx="131">
                  <c:v>32.229999999999997</c:v>
                </c:pt>
                <c:pt idx="132">
                  <c:v>32.409999999999997</c:v>
                </c:pt>
                <c:pt idx="133">
                  <c:v>32.01</c:v>
                </c:pt>
                <c:pt idx="134">
                  <c:v>32.770000000000003</c:v>
                </c:pt>
                <c:pt idx="135">
                  <c:v>32.75</c:v>
                </c:pt>
                <c:pt idx="136">
                  <c:v>34.4</c:v>
                </c:pt>
                <c:pt idx="137">
                  <c:v>34.29</c:v>
                </c:pt>
                <c:pt idx="138">
                  <c:v>33.619999999999997</c:v>
                </c:pt>
                <c:pt idx="139">
                  <c:v>33.69</c:v>
                </c:pt>
                <c:pt idx="140">
                  <c:v>33.700000000000003</c:v>
                </c:pt>
                <c:pt idx="141">
                  <c:v>33.51</c:v>
                </c:pt>
                <c:pt idx="142">
                  <c:v>34.03</c:v>
                </c:pt>
                <c:pt idx="143">
                  <c:v>34.07</c:v>
                </c:pt>
                <c:pt idx="144">
                  <c:v>33.85</c:v>
                </c:pt>
                <c:pt idx="145">
                  <c:v>33.840000000000003</c:v>
                </c:pt>
                <c:pt idx="146">
                  <c:v>33.74</c:v>
                </c:pt>
                <c:pt idx="147">
                  <c:v>34.979999999999997</c:v>
                </c:pt>
                <c:pt idx="148">
                  <c:v>34.32</c:v>
                </c:pt>
                <c:pt idx="149">
                  <c:v>34.799999999999997</c:v>
                </c:pt>
                <c:pt idx="150">
                  <c:v>36.07</c:v>
                </c:pt>
                <c:pt idx="151">
                  <c:v>35.01</c:v>
                </c:pt>
                <c:pt idx="152">
                  <c:v>35.56</c:v>
                </c:pt>
                <c:pt idx="153">
                  <c:v>34.880000000000003</c:v>
                </c:pt>
                <c:pt idx="154">
                  <c:v>34.28</c:v>
                </c:pt>
                <c:pt idx="155">
                  <c:v>34.15</c:v>
                </c:pt>
                <c:pt idx="156">
                  <c:v>33.93</c:v>
                </c:pt>
                <c:pt idx="157">
                  <c:v>34.869999999999997</c:v>
                </c:pt>
                <c:pt idx="158">
                  <c:v>35.590000000000003</c:v>
                </c:pt>
                <c:pt idx="159">
                  <c:v>34.21</c:v>
                </c:pt>
                <c:pt idx="160">
                  <c:v>33.96</c:v>
                </c:pt>
                <c:pt idx="161">
                  <c:v>32.99</c:v>
                </c:pt>
                <c:pt idx="162">
                  <c:v>32.6</c:v>
                </c:pt>
                <c:pt idx="163">
                  <c:v>32.61</c:v>
                </c:pt>
                <c:pt idx="164">
                  <c:v>32.42</c:v>
                </c:pt>
                <c:pt idx="165">
                  <c:v>32.450000000000003</c:v>
                </c:pt>
                <c:pt idx="166">
                  <c:v>31.45</c:v>
                </c:pt>
                <c:pt idx="167">
                  <c:v>32.51</c:v>
                </c:pt>
                <c:pt idx="168">
                  <c:v>31.88</c:v>
                </c:pt>
                <c:pt idx="169">
                  <c:v>31.32</c:v>
                </c:pt>
                <c:pt idx="170">
                  <c:v>31.37</c:v>
                </c:pt>
                <c:pt idx="171">
                  <c:v>31.86</c:v>
                </c:pt>
                <c:pt idx="172">
                  <c:v>32.020000000000003</c:v>
                </c:pt>
                <c:pt idx="173">
                  <c:v>31.54</c:v>
                </c:pt>
                <c:pt idx="174">
                  <c:v>30.97</c:v>
                </c:pt>
                <c:pt idx="175">
                  <c:v>30.91</c:v>
                </c:pt>
                <c:pt idx="176">
                  <c:v>30.88</c:v>
                </c:pt>
                <c:pt idx="177">
                  <c:v>31.85</c:v>
                </c:pt>
                <c:pt idx="178">
                  <c:v>32.17</c:v>
                </c:pt>
                <c:pt idx="179">
                  <c:v>31.78</c:v>
                </c:pt>
                <c:pt idx="180">
                  <c:v>31.77</c:v>
                </c:pt>
                <c:pt idx="181">
                  <c:v>31.17</c:v>
                </c:pt>
                <c:pt idx="182">
                  <c:v>30.59</c:v>
                </c:pt>
                <c:pt idx="183">
                  <c:v>30.25</c:v>
                </c:pt>
                <c:pt idx="184">
                  <c:v>31.99</c:v>
                </c:pt>
                <c:pt idx="185">
                  <c:v>32.130000000000003</c:v>
                </c:pt>
                <c:pt idx="186">
                  <c:v>31.94</c:v>
                </c:pt>
                <c:pt idx="187">
                  <c:v>26.6</c:v>
                </c:pt>
                <c:pt idx="188">
                  <c:v>32</c:v>
                </c:pt>
                <c:pt idx="189">
                  <c:v>32</c:v>
                </c:pt>
                <c:pt idx="190">
                  <c:v>31.71</c:v>
                </c:pt>
                <c:pt idx="191">
                  <c:v>30.53</c:v>
                </c:pt>
                <c:pt idx="192">
                  <c:v>29.84</c:v>
                </c:pt>
                <c:pt idx="193">
                  <c:v>30.17</c:v>
                </c:pt>
                <c:pt idx="194">
                  <c:v>29.36</c:v>
                </c:pt>
                <c:pt idx="195">
                  <c:v>29.91</c:v>
                </c:pt>
                <c:pt idx="196">
                  <c:v>27.22</c:v>
                </c:pt>
                <c:pt idx="197">
                  <c:v>26.41</c:v>
                </c:pt>
                <c:pt idx="198">
                  <c:v>26.4</c:v>
                </c:pt>
                <c:pt idx="199">
                  <c:v>25.32</c:v>
                </c:pt>
                <c:pt idx="200">
                  <c:v>25.92</c:v>
                </c:pt>
                <c:pt idx="201">
                  <c:v>26.45</c:v>
                </c:pt>
                <c:pt idx="202">
                  <c:v>26.01</c:v>
                </c:pt>
                <c:pt idx="203">
                  <c:v>26.95</c:v>
                </c:pt>
                <c:pt idx="204">
                  <c:v>26.73</c:v>
                </c:pt>
                <c:pt idx="205">
                  <c:v>25.92</c:v>
                </c:pt>
                <c:pt idx="206">
                  <c:v>26.6</c:v>
                </c:pt>
                <c:pt idx="207">
                  <c:v>26.6</c:v>
                </c:pt>
                <c:pt idx="208">
                  <c:v>28.85</c:v>
                </c:pt>
                <c:pt idx="209">
                  <c:v>28.81</c:v>
                </c:pt>
                <c:pt idx="210">
                  <c:v>28.32</c:v>
                </c:pt>
                <c:pt idx="211">
                  <c:v>28.91</c:v>
                </c:pt>
                <c:pt idx="212">
                  <c:v>28.97</c:v>
                </c:pt>
                <c:pt idx="213">
                  <c:v>28.34</c:v>
                </c:pt>
                <c:pt idx="214">
                  <c:v>28.58</c:v>
                </c:pt>
                <c:pt idx="215">
                  <c:v>27.97</c:v>
                </c:pt>
                <c:pt idx="216">
                  <c:v>28.02</c:v>
                </c:pt>
                <c:pt idx="217">
                  <c:v>28.15</c:v>
                </c:pt>
                <c:pt idx="218">
                  <c:v>28.05</c:v>
                </c:pt>
                <c:pt idx="219">
                  <c:v>27.79</c:v>
                </c:pt>
                <c:pt idx="220">
                  <c:v>28.92</c:v>
                </c:pt>
                <c:pt idx="221">
                  <c:v>29.37</c:v>
                </c:pt>
                <c:pt idx="222">
                  <c:v>28.78</c:v>
                </c:pt>
                <c:pt idx="223">
                  <c:v>29</c:v>
                </c:pt>
                <c:pt idx="224">
                  <c:v>29.13</c:v>
                </c:pt>
                <c:pt idx="225">
                  <c:v>29.01</c:v>
                </c:pt>
                <c:pt idx="226">
                  <c:v>27.97</c:v>
                </c:pt>
                <c:pt idx="227">
                  <c:v>28.01</c:v>
                </c:pt>
                <c:pt idx="228">
                  <c:v>27.47</c:v>
                </c:pt>
                <c:pt idx="229">
                  <c:v>27.46</c:v>
                </c:pt>
                <c:pt idx="230">
                  <c:v>27.4</c:v>
                </c:pt>
                <c:pt idx="231">
                  <c:v>27.01</c:v>
                </c:pt>
                <c:pt idx="232">
                  <c:v>26.53</c:v>
                </c:pt>
                <c:pt idx="233">
                  <c:v>27.9</c:v>
                </c:pt>
                <c:pt idx="234">
                  <c:v>27.76</c:v>
                </c:pt>
                <c:pt idx="235">
                  <c:v>27.77</c:v>
                </c:pt>
                <c:pt idx="236">
                  <c:v>27.67</c:v>
                </c:pt>
                <c:pt idx="237">
                  <c:v>26.39</c:v>
                </c:pt>
                <c:pt idx="238">
                  <c:v>27.27</c:v>
                </c:pt>
                <c:pt idx="239">
                  <c:v>27.19</c:v>
                </c:pt>
                <c:pt idx="240">
                  <c:v>28.34</c:v>
                </c:pt>
                <c:pt idx="241">
                  <c:v>28.08</c:v>
                </c:pt>
                <c:pt idx="242">
                  <c:v>27.69</c:v>
                </c:pt>
                <c:pt idx="243">
                  <c:v>27.33</c:v>
                </c:pt>
                <c:pt idx="244">
                  <c:v>27.33</c:v>
                </c:pt>
                <c:pt idx="245">
                  <c:v>27.65</c:v>
                </c:pt>
                <c:pt idx="246">
                  <c:v>27.81</c:v>
                </c:pt>
                <c:pt idx="247">
                  <c:v>28.61</c:v>
                </c:pt>
                <c:pt idx="248">
                  <c:v>29.08</c:v>
                </c:pt>
                <c:pt idx="249">
                  <c:v>28.9</c:v>
                </c:pt>
                <c:pt idx="250">
                  <c:v>29.23</c:v>
                </c:pt>
                <c:pt idx="251">
                  <c:v>28.78</c:v>
                </c:pt>
                <c:pt idx="252">
                  <c:v>28.13</c:v>
                </c:pt>
                <c:pt idx="253">
                  <c:v>27.8</c:v>
                </c:pt>
                <c:pt idx="254">
                  <c:v>27.85</c:v>
                </c:pt>
                <c:pt idx="255">
                  <c:v>27.52</c:v>
                </c:pt>
                <c:pt idx="256">
                  <c:v>27.06</c:v>
                </c:pt>
                <c:pt idx="257">
                  <c:v>27.23</c:v>
                </c:pt>
                <c:pt idx="258">
                  <c:v>27.29</c:v>
                </c:pt>
                <c:pt idx="259">
                  <c:v>28.21</c:v>
                </c:pt>
                <c:pt idx="260">
                  <c:v>27.7</c:v>
                </c:pt>
                <c:pt idx="261">
                  <c:v>26.62</c:v>
                </c:pt>
                <c:pt idx="262">
                  <c:v>25.93</c:v>
                </c:pt>
                <c:pt idx="263">
                  <c:v>26.04</c:v>
                </c:pt>
                <c:pt idx="264">
                  <c:v>26.82</c:v>
                </c:pt>
                <c:pt idx="265">
                  <c:v>26.45</c:v>
                </c:pt>
                <c:pt idx="266">
                  <c:v>27</c:v>
                </c:pt>
                <c:pt idx="267">
                  <c:v>26.57</c:v>
                </c:pt>
                <c:pt idx="268">
                  <c:v>26.39</c:v>
                </c:pt>
                <c:pt idx="269">
                  <c:v>26.24</c:v>
                </c:pt>
                <c:pt idx="270">
                  <c:v>26.14</c:v>
                </c:pt>
                <c:pt idx="271">
                  <c:v>25.96</c:v>
                </c:pt>
                <c:pt idx="272">
                  <c:v>25.84</c:v>
                </c:pt>
                <c:pt idx="273">
                  <c:v>25.41</c:v>
                </c:pt>
                <c:pt idx="274">
                  <c:v>25.72</c:v>
                </c:pt>
                <c:pt idx="275">
                  <c:v>25.66</c:v>
                </c:pt>
                <c:pt idx="276">
                  <c:v>25.93</c:v>
                </c:pt>
                <c:pt idx="277">
                  <c:v>25.35</c:v>
                </c:pt>
                <c:pt idx="278">
                  <c:v>25.01</c:v>
                </c:pt>
                <c:pt idx="279">
                  <c:v>24.75</c:v>
                </c:pt>
                <c:pt idx="280">
                  <c:v>24.41</c:v>
                </c:pt>
                <c:pt idx="281">
                  <c:v>24.27</c:v>
                </c:pt>
                <c:pt idx="282">
                  <c:v>24.89</c:v>
                </c:pt>
                <c:pt idx="283">
                  <c:v>24.27</c:v>
                </c:pt>
                <c:pt idx="284">
                  <c:v>24.84</c:v>
                </c:pt>
                <c:pt idx="285">
                  <c:v>24.73</c:v>
                </c:pt>
                <c:pt idx="286">
                  <c:v>24.51</c:v>
                </c:pt>
                <c:pt idx="287">
                  <c:v>25.34</c:v>
                </c:pt>
                <c:pt idx="288">
                  <c:v>25.48</c:v>
                </c:pt>
                <c:pt idx="289">
                  <c:v>26.01</c:v>
                </c:pt>
                <c:pt idx="290">
                  <c:v>26.49</c:v>
                </c:pt>
                <c:pt idx="291">
                  <c:v>26.63</c:v>
                </c:pt>
                <c:pt idx="292">
                  <c:v>26</c:v>
                </c:pt>
                <c:pt idx="293">
                  <c:v>25.86</c:v>
                </c:pt>
                <c:pt idx="294">
                  <c:v>25.76</c:v>
                </c:pt>
                <c:pt idx="295">
                  <c:v>25.5</c:v>
                </c:pt>
                <c:pt idx="296">
                  <c:v>25.93</c:v>
                </c:pt>
                <c:pt idx="297">
                  <c:v>25.75</c:v>
                </c:pt>
                <c:pt idx="298">
                  <c:v>25.88</c:v>
                </c:pt>
                <c:pt idx="299">
                  <c:v>25.88</c:v>
                </c:pt>
                <c:pt idx="300">
                  <c:v>25.66</c:v>
                </c:pt>
                <c:pt idx="301">
                  <c:v>25.74</c:v>
                </c:pt>
                <c:pt idx="302">
                  <c:v>25.77</c:v>
                </c:pt>
                <c:pt idx="303">
                  <c:v>26</c:v>
                </c:pt>
                <c:pt idx="304">
                  <c:v>26.34</c:v>
                </c:pt>
                <c:pt idx="305">
                  <c:v>26.4</c:v>
                </c:pt>
                <c:pt idx="306">
                  <c:v>26.12</c:v>
                </c:pt>
                <c:pt idx="307">
                  <c:v>26.08</c:v>
                </c:pt>
                <c:pt idx="308">
                  <c:v>26.51</c:v>
                </c:pt>
                <c:pt idx="309">
                  <c:v>27.03</c:v>
                </c:pt>
                <c:pt idx="310">
                  <c:v>26.76</c:v>
                </c:pt>
                <c:pt idx="311">
                  <c:v>26.72</c:v>
                </c:pt>
                <c:pt idx="312">
                  <c:v>27.04</c:v>
                </c:pt>
                <c:pt idx="313">
                  <c:v>26.73</c:v>
                </c:pt>
                <c:pt idx="314">
                  <c:v>26.94</c:v>
                </c:pt>
                <c:pt idx="315">
                  <c:v>26.97</c:v>
                </c:pt>
                <c:pt idx="316">
                  <c:v>27.42</c:v>
                </c:pt>
                <c:pt idx="317">
                  <c:v>27.63</c:v>
                </c:pt>
                <c:pt idx="318">
                  <c:v>25.13</c:v>
                </c:pt>
                <c:pt idx="319">
                  <c:v>23.55</c:v>
                </c:pt>
                <c:pt idx="320">
                  <c:v>23.79</c:v>
                </c:pt>
                <c:pt idx="321">
                  <c:v>23.22</c:v>
                </c:pt>
                <c:pt idx="322">
                  <c:v>22.84</c:v>
                </c:pt>
                <c:pt idx="323">
                  <c:v>21.53</c:v>
                </c:pt>
                <c:pt idx="324">
                  <c:v>21.05</c:v>
                </c:pt>
                <c:pt idx="325">
                  <c:v>21.1</c:v>
                </c:pt>
                <c:pt idx="326">
                  <c:v>20.059999999999999</c:v>
                </c:pt>
                <c:pt idx="327">
                  <c:v>19.05</c:v>
                </c:pt>
                <c:pt idx="328">
                  <c:v>18.09</c:v>
                </c:pt>
                <c:pt idx="329">
                  <c:v>17.13</c:v>
                </c:pt>
                <c:pt idx="330">
                  <c:v>16.05</c:v>
                </c:pt>
                <c:pt idx="331">
                  <c:v>17.3</c:v>
                </c:pt>
                <c:pt idx="332">
                  <c:v>17.61</c:v>
                </c:pt>
                <c:pt idx="333">
                  <c:v>17.25</c:v>
                </c:pt>
                <c:pt idx="334">
                  <c:v>17.010000000000002</c:v>
                </c:pt>
                <c:pt idx="335">
                  <c:v>16.739999999999998</c:v>
                </c:pt>
                <c:pt idx="336">
                  <c:v>17.75</c:v>
                </c:pt>
                <c:pt idx="337">
                  <c:v>17.45</c:v>
                </c:pt>
                <c:pt idx="338">
                  <c:v>17.899999999999999</c:v>
                </c:pt>
                <c:pt idx="339">
                  <c:v>17.59</c:v>
                </c:pt>
                <c:pt idx="340">
                  <c:v>18.190000000000001</c:v>
                </c:pt>
                <c:pt idx="341">
                  <c:v>18.850000000000001</c:v>
                </c:pt>
                <c:pt idx="342">
                  <c:v>20.21</c:v>
                </c:pt>
                <c:pt idx="343">
                  <c:v>22.22</c:v>
                </c:pt>
                <c:pt idx="344">
                  <c:v>21.59</c:v>
                </c:pt>
                <c:pt idx="345">
                  <c:v>21</c:v>
                </c:pt>
                <c:pt idx="346">
                  <c:v>22.09</c:v>
                </c:pt>
                <c:pt idx="347">
                  <c:v>22.35</c:v>
                </c:pt>
                <c:pt idx="348">
                  <c:v>22</c:v>
                </c:pt>
                <c:pt idx="349">
                  <c:v>21.62</c:v>
                </c:pt>
                <c:pt idx="350">
                  <c:v>22</c:v>
                </c:pt>
                <c:pt idx="351">
                  <c:v>22</c:v>
                </c:pt>
                <c:pt idx="352">
                  <c:v>22.85</c:v>
                </c:pt>
                <c:pt idx="353">
                  <c:v>23.09</c:v>
                </c:pt>
                <c:pt idx="354">
                  <c:v>24.47</c:v>
                </c:pt>
                <c:pt idx="355">
                  <c:v>23.14</c:v>
                </c:pt>
                <c:pt idx="356">
                  <c:v>22.16</c:v>
                </c:pt>
                <c:pt idx="357">
                  <c:v>23.66</c:v>
                </c:pt>
                <c:pt idx="358">
                  <c:v>23.5</c:v>
                </c:pt>
                <c:pt idx="359">
                  <c:v>23.73</c:v>
                </c:pt>
                <c:pt idx="360">
                  <c:v>23.76</c:v>
                </c:pt>
                <c:pt idx="361">
                  <c:v>24.15</c:v>
                </c:pt>
                <c:pt idx="362">
                  <c:v>23.99</c:v>
                </c:pt>
                <c:pt idx="363">
                  <c:v>24.71</c:v>
                </c:pt>
                <c:pt idx="364">
                  <c:v>24.87</c:v>
                </c:pt>
                <c:pt idx="365">
                  <c:v>25.69</c:v>
                </c:pt>
                <c:pt idx="366">
                  <c:v>26.04</c:v>
                </c:pt>
                <c:pt idx="367">
                  <c:v>24.85</c:v>
                </c:pt>
                <c:pt idx="368">
                  <c:v>24.08</c:v>
                </c:pt>
                <c:pt idx="369">
                  <c:v>23.63</c:v>
                </c:pt>
                <c:pt idx="370">
                  <c:v>25.07</c:v>
                </c:pt>
                <c:pt idx="371">
                  <c:v>24.73</c:v>
                </c:pt>
                <c:pt idx="372">
                  <c:v>25.9</c:v>
                </c:pt>
                <c:pt idx="373">
                  <c:v>25.13</c:v>
                </c:pt>
                <c:pt idx="374">
                  <c:v>25.13</c:v>
                </c:pt>
                <c:pt idx="375">
                  <c:v>24.66</c:v>
                </c:pt>
                <c:pt idx="376">
                  <c:v>24.5</c:v>
                </c:pt>
                <c:pt idx="377">
                  <c:v>24.19</c:v>
                </c:pt>
                <c:pt idx="378">
                  <c:v>25.02</c:v>
                </c:pt>
                <c:pt idx="379">
                  <c:v>24</c:v>
                </c:pt>
                <c:pt idx="380">
                  <c:v>24</c:v>
                </c:pt>
                <c:pt idx="381">
                  <c:v>24.7</c:v>
                </c:pt>
                <c:pt idx="382">
                  <c:v>24.7</c:v>
                </c:pt>
                <c:pt idx="383">
                  <c:v>24.85</c:v>
                </c:pt>
                <c:pt idx="384">
                  <c:v>24.74</c:v>
                </c:pt>
                <c:pt idx="385">
                  <c:v>24.69</c:v>
                </c:pt>
                <c:pt idx="386">
                  <c:v>24.46</c:v>
                </c:pt>
                <c:pt idx="387">
                  <c:v>25.11</c:v>
                </c:pt>
                <c:pt idx="388">
                  <c:v>25.11</c:v>
                </c:pt>
                <c:pt idx="389">
                  <c:v>25.22</c:v>
                </c:pt>
                <c:pt idx="390">
                  <c:v>25.69</c:v>
                </c:pt>
                <c:pt idx="391">
                  <c:v>25.28</c:v>
                </c:pt>
                <c:pt idx="392">
                  <c:v>26.08</c:v>
                </c:pt>
                <c:pt idx="393">
                  <c:v>26.97</c:v>
                </c:pt>
                <c:pt idx="394">
                  <c:v>25.95</c:v>
                </c:pt>
                <c:pt idx="395">
                  <c:v>26.52</c:v>
                </c:pt>
                <c:pt idx="396">
                  <c:v>25.61</c:v>
                </c:pt>
                <c:pt idx="397">
                  <c:v>25.66</c:v>
                </c:pt>
                <c:pt idx="398">
                  <c:v>26.72</c:v>
                </c:pt>
                <c:pt idx="399">
                  <c:v>26.64</c:v>
                </c:pt>
                <c:pt idx="400">
                  <c:v>27.12</c:v>
                </c:pt>
                <c:pt idx="401">
                  <c:v>27.76</c:v>
                </c:pt>
                <c:pt idx="402">
                  <c:v>27.69</c:v>
                </c:pt>
                <c:pt idx="403">
                  <c:v>27</c:v>
                </c:pt>
                <c:pt idx="404">
                  <c:v>26.87</c:v>
                </c:pt>
                <c:pt idx="405">
                  <c:v>26.82</c:v>
                </c:pt>
                <c:pt idx="406">
                  <c:v>26.16</c:v>
                </c:pt>
                <c:pt idx="407">
                  <c:v>26.66</c:v>
                </c:pt>
                <c:pt idx="408">
                  <c:v>26.35</c:v>
                </c:pt>
                <c:pt idx="409">
                  <c:v>26.59</c:v>
                </c:pt>
                <c:pt idx="410">
                  <c:v>27.37</c:v>
                </c:pt>
                <c:pt idx="411">
                  <c:v>27.28</c:v>
                </c:pt>
                <c:pt idx="412">
                  <c:v>27.65</c:v>
                </c:pt>
                <c:pt idx="413">
                  <c:v>27.22</c:v>
                </c:pt>
                <c:pt idx="414">
                  <c:v>26.86</c:v>
                </c:pt>
                <c:pt idx="415">
                  <c:v>26.6</c:v>
                </c:pt>
                <c:pt idx="416">
                  <c:v>26.54</c:v>
                </c:pt>
                <c:pt idx="417">
                  <c:v>26.73</c:v>
                </c:pt>
                <c:pt idx="418">
                  <c:v>26.37</c:v>
                </c:pt>
                <c:pt idx="419">
                  <c:v>26.74</c:v>
                </c:pt>
                <c:pt idx="420">
                  <c:v>26.3</c:v>
                </c:pt>
                <c:pt idx="421">
                  <c:v>26.8</c:v>
                </c:pt>
                <c:pt idx="422">
                  <c:v>26.28</c:v>
                </c:pt>
                <c:pt idx="423">
                  <c:v>26.59</c:v>
                </c:pt>
                <c:pt idx="424">
                  <c:v>26.05</c:v>
                </c:pt>
                <c:pt idx="425">
                  <c:v>25.46</c:v>
                </c:pt>
                <c:pt idx="426">
                  <c:v>25.05</c:v>
                </c:pt>
                <c:pt idx="427">
                  <c:v>25.31</c:v>
                </c:pt>
                <c:pt idx="428">
                  <c:v>24.5</c:v>
                </c:pt>
                <c:pt idx="429">
                  <c:v>24.24</c:v>
                </c:pt>
                <c:pt idx="430">
                  <c:v>25</c:v>
                </c:pt>
                <c:pt idx="431">
                  <c:v>25.47</c:v>
                </c:pt>
                <c:pt idx="432">
                  <c:v>25.44</c:v>
                </c:pt>
                <c:pt idx="433">
                  <c:v>24.98</c:v>
                </c:pt>
                <c:pt idx="434">
                  <c:v>25.1</c:v>
                </c:pt>
                <c:pt idx="435">
                  <c:v>24.5</c:v>
                </c:pt>
                <c:pt idx="436">
                  <c:v>25.63</c:v>
                </c:pt>
                <c:pt idx="437">
                  <c:v>25.95</c:v>
                </c:pt>
                <c:pt idx="438">
                  <c:v>25.99</c:v>
                </c:pt>
                <c:pt idx="439">
                  <c:v>27.72</c:v>
                </c:pt>
                <c:pt idx="440">
                  <c:v>27.42</c:v>
                </c:pt>
                <c:pt idx="441">
                  <c:v>26.43</c:v>
                </c:pt>
                <c:pt idx="442">
                  <c:v>26.1</c:v>
                </c:pt>
                <c:pt idx="443">
                  <c:v>26</c:v>
                </c:pt>
                <c:pt idx="444">
                  <c:v>25.56</c:v>
                </c:pt>
                <c:pt idx="445">
                  <c:v>26.07</c:v>
                </c:pt>
                <c:pt idx="446">
                  <c:v>26.13</c:v>
                </c:pt>
                <c:pt idx="447">
                  <c:v>25.65</c:v>
                </c:pt>
                <c:pt idx="448">
                  <c:v>25.65</c:v>
                </c:pt>
                <c:pt idx="449">
                  <c:v>26.1</c:v>
                </c:pt>
                <c:pt idx="450">
                  <c:v>25.7</c:v>
                </c:pt>
                <c:pt idx="451">
                  <c:v>25.95</c:v>
                </c:pt>
                <c:pt idx="452">
                  <c:v>25.57</c:v>
                </c:pt>
                <c:pt idx="453">
                  <c:v>25.78</c:v>
                </c:pt>
                <c:pt idx="454">
                  <c:v>26.05</c:v>
                </c:pt>
                <c:pt idx="455">
                  <c:v>25.99</c:v>
                </c:pt>
                <c:pt idx="456">
                  <c:v>26.04</c:v>
                </c:pt>
                <c:pt idx="457">
                  <c:v>25.82</c:v>
                </c:pt>
                <c:pt idx="458">
                  <c:v>25.82</c:v>
                </c:pt>
                <c:pt idx="459">
                  <c:v>25.69</c:v>
                </c:pt>
                <c:pt idx="460">
                  <c:v>25.68</c:v>
                </c:pt>
                <c:pt idx="461">
                  <c:v>25.75</c:v>
                </c:pt>
                <c:pt idx="462">
                  <c:v>26.02</c:v>
                </c:pt>
                <c:pt idx="463">
                  <c:v>26.02</c:v>
                </c:pt>
                <c:pt idx="464">
                  <c:v>26.49</c:v>
                </c:pt>
                <c:pt idx="465">
                  <c:v>26.02</c:v>
                </c:pt>
                <c:pt idx="466">
                  <c:v>26.47</c:v>
                </c:pt>
                <c:pt idx="467">
                  <c:v>26.54</c:v>
                </c:pt>
                <c:pt idx="468">
                  <c:v>27.14</c:v>
                </c:pt>
                <c:pt idx="469">
                  <c:v>27.14</c:v>
                </c:pt>
                <c:pt idx="470">
                  <c:v>28.29</c:v>
                </c:pt>
                <c:pt idx="471">
                  <c:v>28.79</c:v>
                </c:pt>
                <c:pt idx="472">
                  <c:v>28.65</c:v>
                </c:pt>
                <c:pt idx="473">
                  <c:v>29.29</c:v>
                </c:pt>
                <c:pt idx="474">
                  <c:v>29.07</c:v>
                </c:pt>
                <c:pt idx="475">
                  <c:v>28.92</c:v>
                </c:pt>
                <c:pt idx="476">
                  <c:v>28.41</c:v>
                </c:pt>
                <c:pt idx="477">
                  <c:v>28.9</c:v>
                </c:pt>
                <c:pt idx="478">
                  <c:v>30.25</c:v>
                </c:pt>
                <c:pt idx="479">
                  <c:v>31.01</c:v>
                </c:pt>
                <c:pt idx="480">
                  <c:v>30.38</c:v>
                </c:pt>
                <c:pt idx="481">
                  <c:v>30.09</c:v>
                </c:pt>
                <c:pt idx="482">
                  <c:v>29.54</c:v>
                </c:pt>
                <c:pt idx="483">
                  <c:v>28.75</c:v>
                </c:pt>
                <c:pt idx="484">
                  <c:v>28.39</c:v>
                </c:pt>
                <c:pt idx="485">
                  <c:v>29.39</c:v>
                </c:pt>
                <c:pt idx="486">
                  <c:v>29.11</c:v>
                </c:pt>
                <c:pt idx="487">
                  <c:v>28.53</c:v>
                </c:pt>
                <c:pt idx="488">
                  <c:v>28.19</c:v>
                </c:pt>
                <c:pt idx="489">
                  <c:v>28.49</c:v>
                </c:pt>
                <c:pt idx="490">
                  <c:v>28.76</c:v>
                </c:pt>
                <c:pt idx="491">
                  <c:v>28.22</c:v>
                </c:pt>
                <c:pt idx="492">
                  <c:v>28.61</c:v>
                </c:pt>
                <c:pt idx="493">
                  <c:v>28.63</c:v>
                </c:pt>
                <c:pt idx="494">
                  <c:v>28.15</c:v>
                </c:pt>
                <c:pt idx="495">
                  <c:v>28.24</c:v>
                </c:pt>
                <c:pt idx="496">
                  <c:v>28.2</c:v>
                </c:pt>
                <c:pt idx="497">
                  <c:v>29.35</c:v>
                </c:pt>
                <c:pt idx="498">
                  <c:v>29.63</c:v>
                </c:pt>
                <c:pt idx="499">
                  <c:v>29.58</c:v>
                </c:pt>
                <c:pt idx="500">
                  <c:v>29.01</c:v>
                </c:pt>
                <c:pt idx="501">
                  <c:v>29.44</c:v>
                </c:pt>
                <c:pt idx="502">
                  <c:v>29.78</c:v>
                </c:pt>
                <c:pt idx="503">
                  <c:v>28.18</c:v>
                </c:pt>
                <c:pt idx="504">
                  <c:v>26.72</c:v>
                </c:pt>
                <c:pt idx="505">
                  <c:v>24.9</c:v>
                </c:pt>
                <c:pt idx="506">
                  <c:v>25.55</c:v>
                </c:pt>
                <c:pt idx="507">
                  <c:v>25.75</c:v>
                </c:pt>
                <c:pt idx="508">
                  <c:v>25.06</c:v>
                </c:pt>
                <c:pt idx="509">
                  <c:v>25.1</c:v>
                </c:pt>
                <c:pt idx="510">
                  <c:v>25.47</c:v>
                </c:pt>
                <c:pt idx="511">
                  <c:v>25.47</c:v>
                </c:pt>
                <c:pt idx="512">
                  <c:v>26.6</c:v>
                </c:pt>
                <c:pt idx="513">
                  <c:v>26.16</c:v>
                </c:pt>
                <c:pt idx="514">
                  <c:v>26.06</c:v>
                </c:pt>
                <c:pt idx="515">
                  <c:v>26.68</c:v>
                </c:pt>
                <c:pt idx="516">
                  <c:v>26.61</c:v>
                </c:pt>
                <c:pt idx="517">
                  <c:v>27.03</c:v>
                </c:pt>
                <c:pt idx="518">
                  <c:v>27.86</c:v>
                </c:pt>
                <c:pt idx="519">
                  <c:v>27.79</c:v>
                </c:pt>
                <c:pt idx="520">
                  <c:v>28</c:v>
                </c:pt>
                <c:pt idx="521">
                  <c:v>27.71</c:v>
                </c:pt>
                <c:pt idx="522">
                  <c:v>27.31</c:v>
                </c:pt>
                <c:pt idx="523">
                  <c:v>27.38</c:v>
                </c:pt>
                <c:pt idx="524">
                  <c:v>27.5</c:v>
                </c:pt>
                <c:pt idx="525">
                  <c:v>27.26</c:v>
                </c:pt>
                <c:pt idx="526">
                  <c:v>27.5</c:v>
                </c:pt>
                <c:pt idx="527">
                  <c:v>27.57</c:v>
                </c:pt>
                <c:pt idx="528">
                  <c:v>27.31</c:v>
                </c:pt>
                <c:pt idx="529">
                  <c:v>27.2</c:v>
                </c:pt>
                <c:pt idx="530">
                  <c:v>27.25</c:v>
                </c:pt>
                <c:pt idx="531">
                  <c:v>27.92</c:v>
                </c:pt>
                <c:pt idx="532">
                  <c:v>27.92</c:v>
                </c:pt>
                <c:pt idx="533">
                  <c:v>27.54</c:v>
                </c:pt>
                <c:pt idx="534">
                  <c:v>27.92</c:v>
                </c:pt>
                <c:pt idx="535">
                  <c:v>27.5</c:v>
                </c:pt>
                <c:pt idx="536">
                  <c:v>27.5</c:v>
                </c:pt>
                <c:pt idx="537">
                  <c:v>27.23</c:v>
                </c:pt>
                <c:pt idx="538">
                  <c:v>26.4</c:v>
                </c:pt>
                <c:pt idx="539">
                  <c:v>25.44</c:v>
                </c:pt>
                <c:pt idx="540">
                  <c:v>24</c:v>
                </c:pt>
                <c:pt idx="541">
                  <c:v>22.44</c:v>
                </c:pt>
                <c:pt idx="542">
                  <c:v>20.89</c:v>
                </c:pt>
                <c:pt idx="543">
                  <c:v>21.14</c:v>
                </c:pt>
                <c:pt idx="544">
                  <c:v>21.25</c:v>
                </c:pt>
                <c:pt idx="545">
                  <c:v>21.83</c:v>
                </c:pt>
                <c:pt idx="546">
                  <c:v>22.38</c:v>
                </c:pt>
                <c:pt idx="547">
                  <c:v>22.07</c:v>
                </c:pt>
                <c:pt idx="548">
                  <c:v>22.29</c:v>
                </c:pt>
                <c:pt idx="549">
                  <c:v>22.74</c:v>
                </c:pt>
                <c:pt idx="550">
                  <c:v>22.86</c:v>
                </c:pt>
                <c:pt idx="551">
                  <c:v>22.23</c:v>
                </c:pt>
                <c:pt idx="552">
                  <c:v>22.01</c:v>
                </c:pt>
                <c:pt idx="553">
                  <c:v>21.82</c:v>
                </c:pt>
                <c:pt idx="554">
                  <c:v>22.4</c:v>
                </c:pt>
                <c:pt idx="555">
                  <c:v>22.74</c:v>
                </c:pt>
                <c:pt idx="556">
                  <c:v>22.74</c:v>
                </c:pt>
                <c:pt idx="557">
                  <c:v>22.47</c:v>
                </c:pt>
                <c:pt idx="558">
                  <c:v>21.62</c:v>
                </c:pt>
                <c:pt idx="559">
                  <c:v>22</c:v>
                </c:pt>
                <c:pt idx="560">
                  <c:v>22.01</c:v>
                </c:pt>
                <c:pt idx="561">
                  <c:v>22.29</c:v>
                </c:pt>
                <c:pt idx="562">
                  <c:v>22.85</c:v>
                </c:pt>
                <c:pt idx="563">
                  <c:v>23.22</c:v>
                </c:pt>
                <c:pt idx="564">
                  <c:v>22.52</c:v>
                </c:pt>
                <c:pt idx="565">
                  <c:v>22.99</c:v>
                </c:pt>
                <c:pt idx="566">
                  <c:v>22.74</c:v>
                </c:pt>
                <c:pt idx="567">
                  <c:v>22.84</c:v>
                </c:pt>
                <c:pt idx="568">
                  <c:v>22.45</c:v>
                </c:pt>
                <c:pt idx="569">
                  <c:v>23.23</c:v>
                </c:pt>
                <c:pt idx="570">
                  <c:v>22.5</c:v>
                </c:pt>
                <c:pt idx="571">
                  <c:v>22.71</c:v>
                </c:pt>
                <c:pt idx="572">
                  <c:v>23</c:v>
                </c:pt>
                <c:pt idx="573">
                  <c:v>22.69</c:v>
                </c:pt>
                <c:pt idx="574">
                  <c:v>22.33</c:v>
                </c:pt>
                <c:pt idx="575">
                  <c:v>22.87</c:v>
                </c:pt>
                <c:pt idx="576">
                  <c:v>22.87</c:v>
                </c:pt>
                <c:pt idx="577">
                  <c:v>22.99</c:v>
                </c:pt>
                <c:pt idx="578">
                  <c:v>23.23</c:v>
                </c:pt>
                <c:pt idx="579">
                  <c:v>22.99</c:v>
                </c:pt>
                <c:pt idx="580">
                  <c:v>23.23</c:v>
                </c:pt>
                <c:pt idx="581">
                  <c:v>23.27</c:v>
                </c:pt>
                <c:pt idx="582">
                  <c:v>23.73</c:v>
                </c:pt>
                <c:pt idx="583">
                  <c:v>23.84</c:v>
                </c:pt>
                <c:pt idx="584">
                  <c:v>23.83</c:v>
                </c:pt>
                <c:pt idx="585">
                  <c:v>24.91</c:v>
                </c:pt>
                <c:pt idx="586">
                  <c:v>23.91</c:v>
                </c:pt>
                <c:pt idx="587">
                  <c:v>24</c:v>
                </c:pt>
                <c:pt idx="588">
                  <c:v>23.84</c:v>
                </c:pt>
                <c:pt idx="589">
                  <c:v>23.44</c:v>
                </c:pt>
                <c:pt idx="590">
                  <c:v>23.48</c:v>
                </c:pt>
                <c:pt idx="591">
                  <c:v>23.48</c:v>
                </c:pt>
                <c:pt idx="592">
                  <c:v>23.77</c:v>
                </c:pt>
                <c:pt idx="593">
                  <c:v>23.99</c:v>
                </c:pt>
                <c:pt idx="594">
                  <c:v>23.98</c:v>
                </c:pt>
                <c:pt idx="595">
                  <c:v>24.53</c:v>
                </c:pt>
                <c:pt idx="596">
                  <c:v>24.04</c:v>
                </c:pt>
                <c:pt idx="597">
                  <c:v>24.06</c:v>
                </c:pt>
                <c:pt idx="598">
                  <c:v>24.14</c:v>
                </c:pt>
                <c:pt idx="599">
                  <c:v>24</c:v>
                </c:pt>
                <c:pt idx="600">
                  <c:v>23.95</c:v>
                </c:pt>
                <c:pt idx="601">
                  <c:v>23.52</c:v>
                </c:pt>
                <c:pt idx="602">
                  <c:v>23.84</c:v>
                </c:pt>
                <c:pt idx="603">
                  <c:v>23.91</c:v>
                </c:pt>
                <c:pt idx="604">
                  <c:v>24.01</c:v>
                </c:pt>
                <c:pt idx="605">
                  <c:v>24.04</c:v>
                </c:pt>
                <c:pt idx="606">
                  <c:v>24</c:v>
                </c:pt>
                <c:pt idx="607">
                  <c:v>24.03</c:v>
                </c:pt>
                <c:pt idx="608">
                  <c:v>24.04</c:v>
                </c:pt>
                <c:pt idx="609">
                  <c:v>24.05</c:v>
                </c:pt>
                <c:pt idx="610">
                  <c:v>23.89</c:v>
                </c:pt>
                <c:pt idx="611">
                  <c:v>24</c:v>
                </c:pt>
                <c:pt idx="612">
                  <c:v>24</c:v>
                </c:pt>
                <c:pt idx="613">
                  <c:v>24.12</c:v>
                </c:pt>
                <c:pt idx="614">
                  <c:v>24.66</c:v>
                </c:pt>
                <c:pt idx="615">
                  <c:v>24.78</c:v>
                </c:pt>
                <c:pt idx="616">
                  <c:v>24.23</c:v>
                </c:pt>
                <c:pt idx="617">
                  <c:v>24.06</c:v>
                </c:pt>
                <c:pt idx="618">
                  <c:v>23.95</c:v>
                </c:pt>
                <c:pt idx="619">
                  <c:v>23.92</c:v>
                </c:pt>
                <c:pt idx="620">
                  <c:v>23.96</c:v>
                </c:pt>
                <c:pt idx="621">
                  <c:v>24.13</c:v>
                </c:pt>
                <c:pt idx="622">
                  <c:v>23.8</c:v>
                </c:pt>
                <c:pt idx="623">
                  <c:v>23.8</c:v>
                </c:pt>
                <c:pt idx="624">
                  <c:v>23.14</c:v>
                </c:pt>
                <c:pt idx="625">
                  <c:v>23.14</c:v>
                </c:pt>
                <c:pt idx="626">
                  <c:v>23.14</c:v>
                </c:pt>
                <c:pt idx="627">
                  <c:v>24</c:v>
                </c:pt>
                <c:pt idx="628">
                  <c:v>24.26</c:v>
                </c:pt>
                <c:pt idx="629">
                  <c:v>23.91</c:v>
                </c:pt>
                <c:pt idx="630">
                  <c:v>23.94</c:v>
                </c:pt>
                <c:pt idx="631">
                  <c:v>24.01</c:v>
                </c:pt>
                <c:pt idx="632">
                  <c:v>24.03</c:v>
                </c:pt>
                <c:pt idx="633">
                  <c:v>24.06</c:v>
                </c:pt>
                <c:pt idx="634">
                  <c:v>24.06</c:v>
                </c:pt>
                <c:pt idx="635">
                  <c:v>24.03</c:v>
                </c:pt>
                <c:pt idx="636">
                  <c:v>24.11</c:v>
                </c:pt>
                <c:pt idx="637">
                  <c:v>24.11</c:v>
                </c:pt>
                <c:pt idx="638">
                  <c:v>23.93</c:v>
                </c:pt>
                <c:pt idx="639">
                  <c:v>24</c:v>
                </c:pt>
                <c:pt idx="640">
                  <c:v>24.01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23.93</c:v>
                </c:pt>
                <c:pt idx="645">
                  <c:v>23.54</c:v>
                </c:pt>
                <c:pt idx="646">
                  <c:v>23.8</c:v>
                </c:pt>
                <c:pt idx="647">
                  <c:v>23.99</c:v>
                </c:pt>
                <c:pt idx="648">
                  <c:v>23.99</c:v>
                </c:pt>
                <c:pt idx="649">
                  <c:v>23.76</c:v>
                </c:pt>
                <c:pt idx="650">
                  <c:v>23.85</c:v>
                </c:pt>
                <c:pt idx="651">
                  <c:v>23.7</c:v>
                </c:pt>
                <c:pt idx="652">
                  <c:v>23.95</c:v>
                </c:pt>
                <c:pt idx="653">
                  <c:v>23.73</c:v>
                </c:pt>
                <c:pt idx="654">
                  <c:v>23.5</c:v>
                </c:pt>
                <c:pt idx="655">
                  <c:v>23.59</c:v>
                </c:pt>
                <c:pt idx="656">
                  <c:v>23.59</c:v>
                </c:pt>
                <c:pt idx="657">
                  <c:v>23.59</c:v>
                </c:pt>
                <c:pt idx="658">
                  <c:v>23.59</c:v>
                </c:pt>
                <c:pt idx="659">
                  <c:v>23.43</c:v>
                </c:pt>
                <c:pt idx="660">
                  <c:v>23.91</c:v>
                </c:pt>
                <c:pt idx="661">
                  <c:v>23.91</c:v>
                </c:pt>
                <c:pt idx="662">
                  <c:v>23.91</c:v>
                </c:pt>
                <c:pt idx="663">
                  <c:v>23.91</c:v>
                </c:pt>
                <c:pt idx="664">
                  <c:v>23.91</c:v>
                </c:pt>
                <c:pt idx="665">
                  <c:v>24.84</c:v>
                </c:pt>
                <c:pt idx="666">
                  <c:v>24.27</c:v>
                </c:pt>
                <c:pt idx="667">
                  <c:v>23.92</c:v>
                </c:pt>
                <c:pt idx="668">
                  <c:v>24</c:v>
                </c:pt>
                <c:pt idx="669">
                  <c:v>24.54</c:v>
                </c:pt>
                <c:pt idx="670">
                  <c:v>23.52</c:v>
                </c:pt>
                <c:pt idx="671">
                  <c:v>24.06</c:v>
                </c:pt>
                <c:pt idx="672">
                  <c:v>24.06</c:v>
                </c:pt>
                <c:pt idx="673">
                  <c:v>24.06</c:v>
                </c:pt>
                <c:pt idx="674">
                  <c:v>24.45</c:v>
                </c:pt>
                <c:pt idx="675">
                  <c:v>24.45</c:v>
                </c:pt>
                <c:pt idx="676">
                  <c:v>24.01</c:v>
                </c:pt>
                <c:pt idx="677">
                  <c:v>24.01</c:v>
                </c:pt>
                <c:pt idx="678">
                  <c:v>24.01</c:v>
                </c:pt>
                <c:pt idx="679">
                  <c:v>24</c:v>
                </c:pt>
                <c:pt idx="680">
                  <c:v>24.01</c:v>
                </c:pt>
                <c:pt idx="681">
                  <c:v>24.01</c:v>
                </c:pt>
                <c:pt idx="682">
                  <c:v>24.01</c:v>
                </c:pt>
                <c:pt idx="683">
                  <c:v>24.01</c:v>
                </c:pt>
                <c:pt idx="684">
                  <c:v>24.01</c:v>
                </c:pt>
                <c:pt idx="685">
                  <c:v>24.01</c:v>
                </c:pt>
                <c:pt idx="686">
                  <c:v>23.89</c:v>
                </c:pt>
                <c:pt idx="687">
                  <c:v>24.17</c:v>
                </c:pt>
                <c:pt idx="688">
                  <c:v>24.24</c:v>
                </c:pt>
                <c:pt idx="689">
                  <c:v>24.25</c:v>
                </c:pt>
                <c:pt idx="690">
                  <c:v>24.25</c:v>
                </c:pt>
                <c:pt idx="691">
                  <c:v>24.25</c:v>
                </c:pt>
                <c:pt idx="692">
                  <c:v>24.25</c:v>
                </c:pt>
                <c:pt idx="693">
                  <c:v>23.06</c:v>
                </c:pt>
                <c:pt idx="694">
                  <c:v>23.5</c:v>
                </c:pt>
                <c:pt idx="695">
                  <c:v>23.5</c:v>
                </c:pt>
                <c:pt idx="696">
                  <c:v>24.21</c:v>
                </c:pt>
                <c:pt idx="697">
                  <c:v>24.22</c:v>
                </c:pt>
                <c:pt idx="698">
                  <c:v>24.14</c:v>
                </c:pt>
                <c:pt idx="699">
                  <c:v>23.88</c:v>
                </c:pt>
                <c:pt idx="700">
                  <c:v>23.41</c:v>
                </c:pt>
                <c:pt idx="701">
                  <c:v>23.41</c:v>
                </c:pt>
                <c:pt idx="702">
                  <c:v>23.58</c:v>
                </c:pt>
                <c:pt idx="703">
                  <c:v>24.77</c:v>
                </c:pt>
                <c:pt idx="704">
                  <c:v>24.77</c:v>
                </c:pt>
                <c:pt idx="705">
                  <c:v>25.22</c:v>
                </c:pt>
                <c:pt idx="706">
                  <c:v>25.22</c:v>
                </c:pt>
                <c:pt idx="707">
                  <c:v>24.44</c:v>
                </c:pt>
                <c:pt idx="708">
                  <c:v>24.47</c:v>
                </c:pt>
                <c:pt idx="709">
                  <c:v>24.08</c:v>
                </c:pt>
                <c:pt idx="710">
                  <c:v>24.38</c:v>
                </c:pt>
                <c:pt idx="711">
                  <c:v>21.95</c:v>
                </c:pt>
                <c:pt idx="712">
                  <c:v>21.6</c:v>
                </c:pt>
                <c:pt idx="713">
                  <c:v>20.95</c:v>
                </c:pt>
                <c:pt idx="714">
                  <c:v>20.95</c:v>
                </c:pt>
                <c:pt idx="715">
                  <c:v>20.95</c:v>
                </c:pt>
                <c:pt idx="716">
                  <c:v>21.62</c:v>
                </c:pt>
                <c:pt idx="717">
                  <c:v>20.57</c:v>
                </c:pt>
                <c:pt idx="718">
                  <c:v>20.57</c:v>
                </c:pt>
                <c:pt idx="719">
                  <c:v>20.059999999999999</c:v>
                </c:pt>
                <c:pt idx="720">
                  <c:v>19.84</c:v>
                </c:pt>
                <c:pt idx="721">
                  <c:v>20.72</c:v>
                </c:pt>
                <c:pt idx="722">
                  <c:v>20.22</c:v>
                </c:pt>
                <c:pt idx="723">
                  <c:v>20.010000000000002</c:v>
                </c:pt>
                <c:pt idx="724">
                  <c:v>20</c:v>
                </c:pt>
                <c:pt idx="725">
                  <c:v>19.89</c:v>
                </c:pt>
                <c:pt idx="726">
                  <c:v>19.89</c:v>
                </c:pt>
                <c:pt idx="727">
                  <c:v>19.84</c:v>
                </c:pt>
                <c:pt idx="728">
                  <c:v>19.72</c:v>
                </c:pt>
                <c:pt idx="729">
                  <c:v>19.559999999999999</c:v>
                </c:pt>
                <c:pt idx="730">
                  <c:v>19.21</c:v>
                </c:pt>
                <c:pt idx="731">
                  <c:v>19.5</c:v>
                </c:pt>
                <c:pt idx="732">
                  <c:v>19.510000000000002</c:v>
                </c:pt>
                <c:pt idx="733">
                  <c:v>19.52</c:v>
                </c:pt>
                <c:pt idx="734">
                  <c:v>19.52</c:v>
                </c:pt>
                <c:pt idx="735">
                  <c:v>19.55</c:v>
                </c:pt>
                <c:pt idx="736">
                  <c:v>19.600000000000001</c:v>
                </c:pt>
                <c:pt idx="737">
                  <c:v>19.38</c:v>
                </c:pt>
                <c:pt idx="738">
                  <c:v>19.38</c:v>
                </c:pt>
                <c:pt idx="739">
                  <c:v>19.66</c:v>
                </c:pt>
                <c:pt idx="740">
                  <c:v>19.670000000000002</c:v>
                </c:pt>
                <c:pt idx="741">
                  <c:v>19.670000000000002</c:v>
                </c:pt>
                <c:pt idx="742">
                  <c:v>19.670000000000002</c:v>
                </c:pt>
                <c:pt idx="743">
                  <c:v>19.600000000000001</c:v>
                </c:pt>
                <c:pt idx="744">
                  <c:v>19.600000000000001</c:v>
                </c:pt>
                <c:pt idx="745">
                  <c:v>19.3</c:v>
                </c:pt>
                <c:pt idx="746">
                  <c:v>19.3</c:v>
                </c:pt>
                <c:pt idx="747">
                  <c:v>19</c:v>
                </c:pt>
                <c:pt idx="748">
                  <c:v>19.04</c:v>
                </c:pt>
                <c:pt idx="749">
                  <c:v>19.100000000000001</c:v>
                </c:pt>
                <c:pt idx="750">
                  <c:v>19.02</c:v>
                </c:pt>
                <c:pt idx="751">
                  <c:v>19.02</c:v>
                </c:pt>
                <c:pt idx="752">
                  <c:v>19.02</c:v>
                </c:pt>
                <c:pt idx="753">
                  <c:v>19.02</c:v>
                </c:pt>
                <c:pt idx="754">
                  <c:v>19.28</c:v>
                </c:pt>
                <c:pt idx="755">
                  <c:v>19.28</c:v>
                </c:pt>
                <c:pt idx="756">
                  <c:v>19.04</c:v>
                </c:pt>
                <c:pt idx="757">
                  <c:v>19.73</c:v>
                </c:pt>
                <c:pt idx="758">
                  <c:v>19.73</c:v>
                </c:pt>
                <c:pt idx="759">
                  <c:v>19.28</c:v>
                </c:pt>
                <c:pt idx="760">
                  <c:v>19.28</c:v>
                </c:pt>
                <c:pt idx="761">
                  <c:v>18.010000000000002</c:v>
                </c:pt>
                <c:pt idx="762">
                  <c:v>18.010000000000002</c:v>
                </c:pt>
                <c:pt idx="763">
                  <c:v>18.55</c:v>
                </c:pt>
                <c:pt idx="764">
                  <c:v>18.55</c:v>
                </c:pt>
                <c:pt idx="765">
                  <c:v>18.600000000000001</c:v>
                </c:pt>
                <c:pt idx="766">
                  <c:v>18.64</c:v>
                </c:pt>
                <c:pt idx="767">
                  <c:v>18.64</c:v>
                </c:pt>
                <c:pt idx="768">
                  <c:v>18.64</c:v>
                </c:pt>
                <c:pt idx="769">
                  <c:v>18.64</c:v>
                </c:pt>
                <c:pt idx="770">
                  <c:v>18.64</c:v>
                </c:pt>
                <c:pt idx="771">
                  <c:v>18.7</c:v>
                </c:pt>
                <c:pt idx="772">
                  <c:v>18.7</c:v>
                </c:pt>
                <c:pt idx="773">
                  <c:v>18.7</c:v>
                </c:pt>
                <c:pt idx="774">
                  <c:v>18.7</c:v>
                </c:pt>
                <c:pt idx="775">
                  <c:v>18.75</c:v>
                </c:pt>
                <c:pt idx="776">
                  <c:v>18.75</c:v>
                </c:pt>
                <c:pt idx="777">
                  <c:v>19</c:v>
                </c:pt>
                <c:pt idx="778">
                  <c:v>19</c:v>
                </c:pt>
                <c:pt idx="779">
                  <c:v>17.93</c:v>
                </c:pt>
                <c:pt idx="780">
                  <c:v>18</c:v>
                </c:pt>
                <c:pt idx="781">
                  <c:v>18</c:v>
                </c:pt>
                <c:pt idx="782">
                  <c:v>18.100000000000001</c:v>
                </c:pt>
                <c:pt idx="783">
                  <c:v>17.97</c:v>
                </c:pt>
                <c:pt idx="784">
                  <c:v>17.809999999999999</c:v>
                </c:pt>
                <c:pt idx="785">
                  <c:v>17.809999999999999</c:v>
                </c:pt>
                <c:pt idx="786">
                  <c:v>17.809999999999999</c:v>
                </c:pt>
                <c:pt idx="787">
                  <c:v>17.8</c:v>
                </c:pt>
                <c:pt idx="788">
                  <c:v>17.72</c:v>
                </c:pt>
                <c:pt idx="789">
                  <c:v>17.62</c:v>
                </c:pt>
                <c:pt idx="790">
                  <c:v>17.07</c:v>
                </c:pt>
                <c:pt idx="791">
                  <c:v>17.21</c:v>
                </c:pt>
                <c:pt idx="792">
                  <c:v>17</c:v>
                </c:pt>
                <c:pt idx="793">
                  <c:v>16.54</c:v>
                </c:pt>
                <c:pt idx="794">
                  <c:v>16.690000000000001</c:v>
                </c:pt>
                <c:pt idx="795">
                  <c:v>16.46</c:v>
                </c:pt>
                <c:pt idx="796">
                  <c:v>15.61</c:v>
                </c:pt>
                <c:pt idx="797">
                  <c:v>15.61</c:v>
                </c:pt>
                <c:pt idx="798">
                  <c:v>16.13</c:v>
                </c:pt>
                <c:pt idx="799">
                  <c:v>16.13</c:v>
                </c:pt>
                <c:pt idx="800">
                  <c:v>16.170000000000002</c:v>
                </c:pt>
                <c:pt idx="801">
                  <c:v>16</c:v>
                </c:pt>
                <c:pt idx="802">
                  <c:v>16.010000000000002</c:v>
                </c:pt>
                <c:pt idx="803">
                  <c:v>16.03</c:v>
                </c:pt>
                <c:pt idx="804">
                  <c:v>16.03</c:v>
                </c:pt>
                <c:pt idx="805">
                  <c:v>16.03</c:v>
                </c:pt>
                <c:pt idx="806">
                  <c:v>16.489999999999998</c:v>
                </c:pt>
                <c:pt idx="807">
                  <c:v>16.489999999999998</c:v>
                </c:pt>
                <c:pt idx="808">
                  <c:v>16.489999999999998</c:v>
                </c:pt>
                <c:pt idx="809">
                  <c:v>16.41</c:v>
                </c:pt>
                <c:pt idx="810">
                  <c:v>16.41</c:v>
                </c:pt>
                <c:pt idx="811">
                  <c:v>16</c:v>
                </c:pt>
                <c:pt idx="812">
                  <c:v>15.86</c:v>
                </c:pt>
                <c:pt idx="813">
                  <c:v>16</c:v>
                </c:pt>
                <c:pt idx="814">
                  <c:v>16</c:v>
                </c:pt>
                <c:pt idx="815">
                  <c:v>15.9</c:v>
                </c:pt>
                <c:pt idx="816">
                  <c:v>15.88</c:v>
                </c:pt>
                <c:pt idx="817">
                  <c:v>15.85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16.510000000000002</c:v>
                </c:pt>
                <c:pt idx="822">
                  <c:v>16.510000000000002</c:v>
                </c:pt>
                <c:pt idx="823">
                  <c:v>16.510000000000002</c:v>
                </c:pt>
                <c:pt idx="824">
                  <c:v>16.100000000000001</c:v>
                </c:pt>
                <c:pt idx="825">
                  <c:v>16.100000000000001</c:v>
                </c:pt>
                <c:pt idx="826">
                  <c:v>15.79</c:v>
                </c:pt>
                <c:pt idx="827">
                  <c:v>15.6</c:v>
                </c:pt>
                <c:pt idx="828">
                  <c:v>15.6</c:v>
                </c:pt>
                <c:pt idx="829">
                  <c:v>15.21</c:v>
                </c:pt>
                <c:pt idx="830">
                  <c:v>15.11</c:v>
                </c:pt>
                <c:pt idx="831">
                  <c:v>15.11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15.92</c:v>
                </c:pt>
                <c:pt idx="840">
                  <c:v>15.92</c:v>
                </c:pt>
                <c:pt idx="841">
                  <c:v>15.92</c:v>
                </c:pt>
                <c:pt idx="842">
                  <c:v>17.12</c:v>
                </c:pt>
                <c:pt idx="843">
                  <c:v>17.420000000000002</c:v>
                </c:pt>
                <c:pt idx="844">
                  <c:v>17.559999999999999</c:v>
                </c:pt>
                <c:pt idx="845">
                  <c:v>17.559999999999999</c:v>
                </c:pt>
                <c:pt idx="846">
                  <c:v>17.32</c:v>
                </c:pt>
                <c:pt idx="847">
                  <c:v>17.32</c:v>
                </c:pt>
                <c:pt idx="848">
                  <c:v>17.07</c:v>
                </c:pt>
                <c:pt idx="849">
                  <c:v>17.149999999999999</c:v>
                </c:pt>
                <c:pt idx="850">
                  <c:v>17.149999999999999</c:v>
                </c:pt>
                <c:pt idx="851">
                  <c:v>17.2</c:v>
                </c:pt>
                <c:pt idx="852">
                  <c:v>17.3</c:v>
                </c:pt>
                <c:pt idx="853">
                  <c:v>17.04</c:v>
                </c:pt>
                <c:pt idx="854">
                  <c:v>17.04</c:v>
                </c:pt>
                <c:pt idx="855">
                  <c:v>16.670000000000002</c:v>
                </c:pt>
                <c:pt idx="856">
                  <c:v>17</c:v>
                </c:pt>
                <c:pt idx="857">
                  <c:v>17.37</c:v>
                </c:pt>
                <c:pt idx="858">
                  <c:v>17.78</c:v>
                </c:pt>
                <c:pt idx="859">
                  <c:v>18.13</c:v>
                </c:pt>
                <c:pt idx="860">
                  <c:v>18.09</c:v>
                </c:pt>
                <c:pt idx="861">
                  <c:v>17.91</c:v>
                </c:pt>
                <c:pt idx="862">
                  <c:v>17.91</c:v>
                </c:pt>
                <c:pt idx="863">
                  <c:v>17.47</c:v>
                </c:pt>
                <c:pt idx="864">
                  <c:v>18.21</c:v>
                </c:pt>
                <c:pt idx="865">
                  <c:v>18.32</c:v>
                </c:pt>
                <c:pt idx="866">
                  <c:v>18.489999999999998</c:v>
                </c:pt>
                <c:pt idx="867">
                  <c:v>18.41</c:v>
                </c:pt>
                <c:pt idx="868">
                  <c:v>19.05</c:v>
                </c:pt>
                <c:pt idx="869">
                  <c:v>19.05</c:v>
                </c:pt>
                <c:pt idx="870">
                  <c:v>19.09</c:v>
                </c:pt>
                <c:pt idx="871">
                  <c:v>18.96</c:v>
                </c:pt>
                <c:pt idx="872">
                  <c:v>19.010000000000002</c:v>
                </c:pt>
                <c:pt idx="873">
                  <c:v>18.96</c:v>
                </c:pt>
                <c:pt idx="874">
                  <c:v>19.190000000000001</c:v>
                </c:pt>
                <c:pt idx="875">
                  <c:v>19.809999999999999</c:v>
                </c:pt>
                <c:pt idx="876">
                  <c:v>20</c:v>
                </c:pt>
                <c:pt idx="877">
                  <c:v>19.66</c:v>
                </c:pt>
                <c:pt idx="878">
                  <c:v>19.54</c:v>
                </c:pt>
                <c:pt idx="879">
                  <c:v>19.649999999999999</c:v>
                </c:pt>
                <c:pt idx="880">
                  <c:v>19.79</c:v>
                </c:pt>
                <c:pt idx="881">
                  <c:v>19.88</c:v>
                </c:pt>
                <c:pt idx="882">
                  <c:v>19.989999999999998</c:v>
                </c:pt>
                <c:pt idx="883">
                  <c:v>19.850000000000001</c:v>
                </c:pt>
                <c:pt idx="884">
                  <c:v>19.78</c:v>
                </c:pt>
                <c:pt idx="885">
                  <c:v>20.28</c:v>
                </c:pt>
                <c:pt idx="886">
                  <c:v>18.05</c:v>
                </c:pt>
                <c:pt idx="887">
                  <c:v>18</c:v>
                </c:pt>
                <c:pt idx="888">
                  <c:v>17.989999999999998</c:v>
                </c:pt>
                <c:pt idx="889">
                  <c:v>17.47</c:v>
                </c:pt>
                <c:pt idx="890">
                  <c:v>17.82</c:v>
                </c:pt>
                <c:pt idx="891">
                  <c:v>17.53</c:v>
                </c:pt>
                <c:pt idx="892">
                  <c:v>17.52</c:v>
                </c:pt>
                <c:pt idx="893">
                  <c:v>17.489999999999998</c:v>
                </c:pt>
                <c:pt idx="894">
                  <c:v>17.48</c:v>
                </c:pt>
                <c:pt idx="895">
                  <c:v>17.420000000000002</c:v>
                </c:pt>
                <c:pt idx="896">
                  <c:v>17.510000000000002</c:v>
                </c:pt>
                <c:pt idx="897">
                  <c:v>17.399999999999999</c:v>
                </c:pt>
                <c:pt idx="898">
                  <c:v>17.149999999999999</c:v>
                </c:pt>
                <c:pt idx="899">
                  <c:v>17.149999999999999</c:v>
                </c:pt>
                <c:pt idx="900">
                  <c:v>16.75</c:v>
                </c:pt>
                <c:pt idx="901">
                  <c:v>16.5</c:v>
                </c:pt>
                <c:pt idx="902">
                  <c:v>18.05</c:v>
                </c:pt>
                <c:pt idx="903">
                  <c:v>16.989999999999998</c:v>
                </c:pt>
                <c:pt idx="904">
                  <c:v>17.059999999999999</c:v>
                </c:pt>
                <c:pt idx="905">
                  <c:v>18.12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18.21</c:v>
                </c:pt>
                <c:pt idx="910">
                  <c:v>18.5</c:v>
                </c:pt>
                <c:pt idx="911">
                  <c:v>18.04</c:v>
                </c:pt>
                <c:pt idx="912">
                  <c:v>18.04</c:v>
                </c:pt>
                <c:pt idx="913">
                  <c:v>18.04</c:v>
                </c:pt>
                <c:pt idx="914">
                  <c:v>18.04</c:v>
                </c:pt>
                <c:pt idx="915">
                  <c:v>18.399999999999999</c:v>
                </c:pt>
                <c:pt idx="916">
                  <c:v>19.420000000000002</c:v>
                </c:pt>
                <c:pt idx="917">
                  <c:v>19.100000000000001</c:v>
                </c:pt>
                <c:pt idx="918">
                  <c:v>18.7</c:v>
                </c:pt>
                <c:pt idx="919">
                  <c:v>18.7</c:v>
                </c:pt>
                <c:pt idx="920">
                  <c:v>18.97</c:v>
                </c:pt>
                <c:pt idx="921">
                  <c:v>18.97</c:v>
                </c:pt>
                <c:pt idx="922">
                  <c:v>18.97</c:v>
                </c:pt>
                <c:pt idx="923">
                  <c:v>18.510000000000002</c:v>
                </c:pt>
                <c:pt idx="924">
                  <c:v>18.68</c:v>
                </c:pt>
                <c:pt idx="925">
                  <c:v>18.010000000000002</c:v>
                </c:pt>
                <c:pt idx="926">
                  <c:v>18.010000000000002</c:v>
                </c:pt>
                <c:pt idx="927">
                  <c:v>18.010000000000002</c:v>
                </c:pt>
                <c:pt idx="928">
                  <c:v>18.010000000000002</c:v>
                </c:pt>
                <c:pt idx="929">
                  <c:v>18.010000000000002</c:v>
                </c:pt>
                <c:pt idx="930">
                  <c:v>18.98</c:v>
                </c:pt>
                <c:pt idx="931">
                  <c:v>19.149999999999999</c:v>
                </c:pt>
                <c:pt idx="932">
                  <c:v>19.149999999999999</c:v>
                </c:pt>
                <c:pt idx="933">
                  <c:v>19.149999999999999</c:v>
                </c:pt>
                <c:pt idx="934">
                  <c:v>18.66</c:v>
                </c:pt>
                <c:pt idx="935">
                  <c:v>18.59</c:v>
                </c:pt>
                <c:pt idx="936">
                  <c:v>18.59</c:v>
                </c:pt>
                <c:pt idx="937">
                  <c:v>19.04</c:v>
                </c:pt>
                <c:pt idx="938">
                  <c:v>19.04</c:v>
                </c:pt>
                <c:pt idx="939">
                  <c:v>19.03</c:v>
                </c:pt>
                <c:pt idx="940">
                  <c:v>19.03</c:v>
                </c:pt>
                <c:pt idx="941">
                  <c:v>19.03</c:v>
                </c:pt>
                <c:pt idx="942">
                  <c:v>19.03</c:v>
                </c:pt>
                <c:pt idx="943">
                  <c:v>18.23</c:v>
                </c:pt>
                <c:pt idx="944">
                  <c:v>18.010000000000002</c:v>
                </c:pt>
                <c:pt idx="945">
                  <c:v>18.52</c:v>
                </c:pt>
                <c:pt idx="946">
                  <c:v>18.79</c:v>
                </c:pt>
                <c:pt idx="947">
                  <c:v>18.75</c:v>
                </c:pt>
                <c:pt idx="948">
                  <c:v>18.75</c:v>
                </c:pt>
                <c:pt idx="949">
                  <c:v>18.98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18.78</c:v>
                </c:pt>
                <c:pt idx="957">
                  <c:v>17.75</c:v>
                </c:pt>
                <c:pt idx="958">
                  <c:v>18.5</c:v>
                </c:pt>
                <c:pt idx="959">
                  <c:v>18.5</c:v>
                </c:pt>
                <c:pt idx="960">
                  <c:v>17.95</c:v>
                </c:pt>
                <c:pt idx="961">
                  <c:v>17.95</c:v>
                </c:pt>
                <c:pt idx="962">
                  <c:v>17.95</c:v>
                </c:pt>
                <c:pt idx="963">
                  <c:v>18.03</c:v>
                </c:pt>
                <c:pt idx="964">
                  <c:v>18.03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18.03</c:v>
                </c:pt>
                <c:pt idx="969">
                  <c:v>18.03</c:v>
                </c:pt>
                <c:pt idx="970">
                  <c:v>18.100000000000001</c:v>
                </c:pt>
                <c:pt idx="971">
                  <c:v>18.5</c:v>
                </c:pt>
                <c:pt idx="972">
                  <c:v>18.88</c:v>
                </c:pt>
                <c:pt idx="973">
                  <c:v>18.850000000000001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19.239999999999998</c:v>
                </c:pt>
                <c:pt idx="979">
                  <c:v>19.98</c:v>
                </c:pt>
                <c:pt idx="980">
                  <c:v>19.98</c:v>
                </c:pt>
                <c:pt idx="981">
                  <c:v>20.23</c:v>
                </c:pt>
                <c:pt idx="982">
                  <c:v>19.47</c:v>
                </c:pt>
                <c:pt idx="983">
                  <c:v>19.47</c:v>
                </c:pt>
                <c:pt idx="984">
                  <c:v>19.55</c:v>
                </c:pt>
                <c:pt idx="985">
                  <c:v>21.24</c:v>
                </c:pt>
                <c:pt idx="986">
                  <c:v>23.35</c:v>
                </c:pt>
                <c:pt idx="987">
                  <c:v>24.77</c:v>
                </c:pt>
                <c:pt idx="988">
                  <c:v>23.11</c:v>
                </c:pt>
                <c:pt idx="989">
                  <c:v>23.11</c:v>
                </c:pt>
                <c:pt idx="990">
                  <c:v>23.13</c:v>
                </c:pt>
                <c:pt idx="991">
                  <c:v>23.13</c:v>
                </c:pt>
                <c:pt idx="992">
                  <c:v>21.87</c:v>
                </c:pt>
                <c:pt idx="993">
                  <c:v>21.86</c:v>
                </c:pt>
                <c:pt idx="994">
                  <c:v>23.55</c:v>
                </c:pt>
                <c:pt idx="995">
                  <c:v>23.98</c:v>
                </c:pt>
                <c:pt idx="996">
                  <c:v>24.04</c:v>
                </c:pt>
                <c:pt idx="997">
                  <c:v>24.04</c:v>
                </c:pt>
                <c:pt idx="998">
                  <c:v>24.25</c:v>
                </c:pt>
                <c:pt idx="999">
                  <c:v>23.77</c:v>
                </c:pt>
                <c:pt idx="1000">
                  <c:v>23.41</c:v>
                </c:pt>
                <c:pt idx="1001">
                  <c:v>24.2</c:v>
                </c:pt>
                <c:pt idx="1002">
                  <c:v>23.93</c:v>
                </c:pt>
                <c:pt idx="1003">
                  <c:v>23.93</c:v>
                </c:pt>
                <c:pt idx="1004">
                  <c:v>23.97</c:v>
                </c:pt>
                <c:pt idx="1005">
                  <c:v>23.24</c:v>
                </c:pt>
                <c:pt idx="1006">
                  <c:v>23.24</c:v>
                </c:pt>
                <c:pt idx="1007">
                  <c:v>23.24</c:v>
                </c:pt>
                <c:pt idx="1008">
                  <c:v>23.24</c:v>
                </c:pt>
                <c:pt idx="1009">
                  <c:v>24.03</c:v>
                </c:pt>
                <c:pt idx="1010">
                  <c:v>23.66</c:v>
                </c:pt>
                <c:pt idx="1011">
                  <c:v>23.93</c:v>
                </c:pt>
                <c:pt idx="1012">
                  <c:v>23.76</c:v>
                </c:pt>
                <c:pt idx="1013">
                  <c:v>23.76</c:v>
                </c:pt>
                <c:pt idx="1014">
                  <c:v>23.76</c:v>
                </c:pt>
                <c:pt idx="1015">
                  <c:v>24</c:v>
                </c:pt>
                <c:pt idx="1016">
                  <c:v>23.7</c:v>
                </c:pt>
                <c:pt idx="1017">
                  <c:v>23.7</c:v>
                </c:pt>
                <c:pt idx="1018">
                  <c:v>23.82</c:v>
                </c:pt>
                <c:pt idx="1019">
                  <c:v>23.6</c:v>
                </c:pt>
                <c:pt idx="1020">
                  <c:v>23.54</c:v>
                </c:pt>
                <c:pt idx="1021">
                  <c:v>23.07</c:v>
                </c:pt>
                <c:pt idx="1022">
                  <c:v>23.9</c:v>
                </c:pt>
                <c:pt idx="1023">
                  <c:v>23.86</c:v>
                </c:pt>
                <c:pt idx="1024">
                  <c:v>23.96</c:v>
                </c:pt>
                <c:pt idx="1025">
                  <c:v>23.96</c:v>
                </c:pt>
                <c:pt idx="1026">
                  <c:v>23.37</c:v>
                </c:pt>
                <c:pt idx="1027">
                  <c:v>23.3</c:v>
                </c:pt>
                <c:pt idx="1028">
                  <c:v>23.3</c:v>
                </c:pt>
                <c:pt idx="1029">
                  <c:v>23.18</c:v>
                </c:pt>
                <c:pt idx="1030">
                  <c:v>24</c:v>
                </c:pt>
                <c:pt idx="1031">
                  <c:v>23.82</c:v>
                </c:pt>
                <c:pt idx="1032">
                  <c:v>23.82</c:v>
                </c:pt>
                <c:pt idx="1033">
                  <c:v>23.78</c:v>
                </c:pt>
                <c:pt idx="1034">
                  <c:v>23.59</c:v>
                </c:pt>
                <c:pt idx="1035">
                  <c:v>24.52</c:v>
                </c:pt>
                <c:pt idx="1036">
                  <c:v>25.4</c:v>
                </c:pt>
                <c:pt idx="1037">
                  <c:v>27.31</c:v>
                </c:pt>
                <c:pt idx="1038">
                  <c:v>26.25</c:v>
                </c:pt>
                <c:pt idx="1039">
                  <c:v>25.96</c:v>
                </c:pt>
                <c:pt idx="1040">
                  <c:v>27.63</c:v>
                </c:pt>
                <c:pt idx="1041">
                  <c:v>28.83</c:v>
                </c:pt>
                <c:pt idx="1042">
                  <c:v>27.8</c:v>
                </c:pt>
                <c:pt idx="1043">
                  <c:v>29.22</c:v>
                </c:pt>
                <c:pt idx="1044">
                  <c:v>28.5</c:v>
                </c:pt>
                <c:pt idx="1045">
                  <c:v>27.24</c:v>
                </c:pt>
                <c:pt idx="1046">
                  <c:v>27.01</c:v>
                </c:pt>
                <c:pt idx="1047">
                  <c:v>26.58</c:v>
                </c:pt>
                <c:pt idx="1048">
                  <c:v>25.24</c:v>
                </c:pt>
                <c:pt idx="1049">
                  <c:v>25.4</c:v>
                </c:pt>
                <c:pt idx="1050">
                  <c:v>25.2</c:v>
                </c:pt>
                <c:pt idx="1051">
                  <c:v>24.91</c:v>
                </c:pt>
                <c:pt idx="1052">
                  <c:v>26.41</c:v>
                </c:pt>
                <c:pt idx="1053">
                  <c:v>26</c:v>
                </c:pt>
                <c:pt idx="1054">
                  <c:v>25.86</c:v>
                </c:pt>
                <c:pt idx="1055">
                  <c:v>26.16</c:v>
                </c:pt>
                <c:pt idx="1056">
                  <c:v>26.81</c:v>
                </c:pt>
                <c:pt idx="1057">
                  <c:v>26.64</c:v>
                </c:pt>
                <c:pt idx="1058">
                  <c:v>26.25</c:v>
                </c:pt>
                <c:pt idx="1059">
                  <c:v>27.94</c:v>
                </c:pt>
                <c:pt idx="1060">
                  <c:v>28.12</c:v>
                </c:pt>
                <c:pt idx="1061">
                  <c:v>28.04</c:v>
                </c:pt>
                <c:pt idx="1062">
                  <c:v>30.28</c:v>
                </c:pt>
                <c:pt idx="1063">
                  <c:v>31.81</c:v>
                </c:pt>
                <c:pt idx="1064">
                  <c:v>32.450000000000003</c:v>
                </c:pt>
                <c:pt idx="1065">
                  <c:v>32.29</c:v>
                </c:pt>
                <c:pt idx="1066">
                  <c:v>33.36</c:v>
                </c:pt>
                <c:pt idx="1067">
                  <c:v>32.08</c:v>
                </c:pt>
                <c:pt idx="1068">
                  <c:v>31.97</c:v>
                </c:pt>
                <c:pt idx="1069">
                  <c:v>32.700000000000003</c:v>
                </c:pt>
                <c:pt idx="1070">
                  <c:v>31.99</c:v>
                </c:pt>
                <c:pt idx="1071">
                  <c:v>32.83</c:v>
                </c:pt>
                <c:pt idx="1072">
                  <c:v>31.33</c:v>
                </c:pt>
                <c:pt idx="1073">
                  <c:v>30.75</c:v>
                </c:pt>
                <c:pt idx="1074">
                  <c:v>31.18</c:v>
                </c:pt>
                <c:pt idx="1075">
                  <c:v>31.38</c:v>
                </c:pt>
                <c:pt idx="1076">
                  <c:v>30.58</c:v>
                </c:pt>
                <c:pt idx="1077">
                  <c:v>31.42</c:v>
                </c:pt>
                <c:pt idx="1078">
                  <c:v>31.22</c:v>
                </c:pt>
                <c:pt idx="1079">
                  <c:v>32.61</c:v>
                </c:pt>
                <c:pt idx="1080">
                  <c:v>33.78</c:v>
                </c:pt>
                <c:pt idx="1081">
                  <c:v>34.19</c:v>
                </c:pt>
                <c:pt idx="1082">
                  <c:v>35.44</c:v>
                </c:pt>
                <c:pt idx="1083">
                  <c:v>35.119999999999997</c:v>
                </c:pt>
                <c:pt idx="1084">
                  <c:v>34.17</c:v>
                </c:pt>
                <c:pt idx="1085">
                  <c:v>33.82</c:v>
                </c:pt>
                <c:pt idx="1086">
                  <c:v>33.42</c:v>
                </c:pt>
                <c:pt idx="1087">
                  <c:v>33.69</c:v>
                </c:pt>
                <c:pt idx="1088">
                  <c:v>33.020000000000003</c:v>
                </c:pt>
                <c:pt idx="1089">
                  <c:v>30.78</c:v>
                </c:pt>
                <c:pt idx="1090">
                  <c:v>28.5</c:v>
                </c:pt>
                <c:pt idx="1091">
                  <c:v>28.67</c:v>
                </c:pt>
                <c:pt idx="1092">
                  <c:v>28.67</c:v>
                </c:pt>
                <c:pt idx="1093">
                  <c:v>29.15</c:v>
                </c:pt>
                <c:pt idx="1094">
                  <c:v>28.77</c:v>
                </c:pt>
                <c:pt idx="1095">
                  <c:v>28.77</c:v>
                </c:pt>
                <c:pt idx="1096">
                  <c:v>28.16</c:v>
                </c:pt>
                <c:pt idx="1097">
                  <c:v>28.9</c:v>
                </c:pt>
                <c:pt idx="1098">
                  <c:v>29</c:v>
                </c:pt>
                <c:pt idx="1099">
                  <c:v>28.3</c:v>
                </c:pt>
                <c:pt idx="1100">
                  <c:v>28.15</c:v>
                </c:pt>
                <c:pt idx="1101">
                  <c:v>30.43</c:v>
                </c:pt>
                <c:pt idx="1102">
                  <c:v>33.47</c:v>
                </c:pt>
                <c:pt idx="1103">
                  <c:v>36.81</c:v>
                </c:pt>
                <c:pt idx="1104">
                  <c:v>39.61</c:v>
                </c:pt>
                <c:pt idx="1105">
                  <c:v>38.61</c:v>
                </c:pt>
                <c:pt idx="1106">
                  <c:v>38.28</c:v>
                </c:pt>
                <c:pt idx="1107">
                  <c:v>36.79</c:v>
                </c:pt>
                <c:pt idx="1108">
                  <c:v>36.979999999999997</c:v>
                </c:pt>
                <c:pt idx="1109">
                  <c:v>37.5</c:v>
                </c:pt>
                <c:pt idx="1110">
                  <c:v>36.42</c:v>
                </c:pt>
                <c:pt idx="1111">
                  <c:v>35.24</c:v>
                </c:pt>
                <c:pt idx="1112">
                  <c:v>36.479999999999997</c:v>
                </c:pt>
                <c:pt idx="1113">
                  <c:v>36.479999999999997</c:v>
                </c:pt>
                <c:pt idx="1114">
                  <c:v>36.479999999999997</c:v>
                </c:pt>
                <c:pt idx="1115">
                  <c:v>35.97</c:v>
                </c:pt>
                <c:pt idx="1116">
                  <c:v>34.46</c:v>
                </c:pt>
                <c:pt idx="1117">
                  <c:v>34.21</c:v>
                </c:pt>
                <c:pt idx="1118">
                  <c:v>34.07</c:v>
                </c:pt>
                <c:pt idx="1119">
                  <c:v>33.61</c:v>
                </c:pt>
                <c:pt idx="1120">
                  <c:v>33.340000000000003</c:v>
                </c:pt>
                <c:pt idx="1121">
                  <c:v>34.28</c:v>
                </c:pt>
                <c:pt idx="1122">
                  <c:v>34.159999999999997</c:v>
                </c:pt>
                <c:pt idx="1123">
                  <c:v>35.17</c:v>
                </c:pt>
                <c:pt idx="1124">
                  <c:v>35.83</c:v>
                </c:pt>
                <c:pt idx="1125">
                  <c:v>37.369999999999997</c:v>
                </c:pt>
                <c:pt idx="1126">
                  <c:v>37.01</c:v>
                </c:pt>
                <c:pt idx="1127">
                  <c:v>36.18</c:v>
                </c:pt>
                <c:pt idx="1128">
                  <c:v>36.99</c:v>
                </c:pt>
                <c:pt idx="1129">
                  <c:v>38.6</c:v>
                </c:pt>
                <c:pt idx="1130">
                  <c:v>39.15</c:v>
                </c:pt>
                <c:pt idx="1131">
                  <c:v>38.82</c:v>
                </c:pt>
                <c:pt idx="1132">
                  <c:v>37.840000000000003</c:v>
                </c:pt>
                <c:pt idx="1133">
                  <c:v>38.14</c:v>
                </c:pt>
                <c:pt idx="1134">
                  <c:v>40.729999999999997</c:v>
                </c:pt>
                <c:pt idx="1135">
                  <c:v>44.12</c:v>
                </c:pt>
                <c:pt idx="1136">
                  <c:v>47.01</c:v>
                </c:pt>
                <c:pt idx="1137">
                  <c:v>49.85</c:v>
                </c:pt>
                <c:pt idx="1138">
                  <c:v>53.23</c:v>
                </c:pt>
                <c:pt idx="1139">
                  <c:v>50.94</c:v>
                </c:pt>
                <c:pt idx="1140">
                  <c:v>48.85</c:v>
                </c:pt>
                <c:pt idx="1141">
                  <c:v>48.89</c:v>
                </c:pt>
                <c:pt idx="1142">
                  <c:v>48.65</c:v>
                </c:pt>
                <c:pt idx="1143">
                  <c:v>47.54</c:v>
                </c:pt>
                <c:pt idx="1144">
                  <c:v>46.53</c:v>
                </c:pt>
                <c:pt idx="1145">
                  <c:v>48.16</c:v>
                </c:pt>
                <c:pt idx="1146">
                  <c:v>46.93</c:v>
                </c:pt>
                <c:pt idx="1147">
                  <c:v>46.41</c:v>
                </c:pt>
                <c:pt idx="1148">
                  <c:v>50.29</c:v>
                </c:pt>
                <c:pt idx="1149">
                  <c:v>53.41</c:v>
                </c:pt>
                <c:pt idx="1150">
                  <c:v>53.07</c:v>
                </c:pt>
                <c:pt idx="1151">
                  <c:v>51.24</c:v>
                </c:pt>
                <c:pt idx="1152">
                  <c:v>49.7</c:v>
                </c:pt>
                <c:pt idx="1153">
                  <c:v>52.89</c:v>
                </c:pt>
                <c:pt idx="1154">
                  <c:v>53.05</c:v>
                </c:pt>
                <c:pt idx="1155">
                  <c:v>51.87</c:v>
                </c:pt>
                <c:pt idx="1156">
                  <c:v>52.08</c:v>
                </c:pt>
                <c:pt idx="1157">
                  <c:v>51.42</c:v>
                </c:pt>
                <c:pt idx="1158">
                  <c:v>52.59</c:v>
                </c:pt>
                <c:pt idx="1159">
                  <c:v>54.83</c:v>
                </c:pt>
                <c:pt idx="1160">
                  <c:v>55.2</c:v>
                </c:pt>
                <c:pt idx="1161">
                  <c:v>56.98</c:v>
                </c:pt>
                <c:pt idx="1162">
                  <c:v>56.42</c:v>
                </c:pt>
                <c:pt idx="1163">
                  <c:v>57.47</c:v>
                </c:pt>
                <c:pt idx="1164">
                  <c:v>57.56</c:v>
                </c:pt>
                <c:pt idx="1165">
                  <c:v>54.67</c:v>
                </c:pt>
                <c:pt idx="1166">
                  <c:v>52.29</c:v>
                </c:pt>
                <c:pt idx="1167">
                  <c:v>50.98</c:v>
                </c:pt>
                <c:pt idx="1168">
                  <c:v>50.41</c:v>
                </c:pt>
                <c:pt idx="1169">
                  <c:v>48.35</c:v>
                </c:pt>
                <c:pt idx="1170">
                  <c:v>49.9</c:v>
                </c:pt>
                <c:pt idx="1171">
                  <c:v>48.87</c:v>
                </c:pt>
                <c:pt idx="1172">
                  <c:v>48.24</c:v>
                </c:pt>
                <c:pt idx="1173">
                  <c:v>47.54</c:v>
                </c:pt>
                <c:pt idx="1174">
                  <c:v>48.44</c:v>
                </c:pt>
                <c:pt idx="1175">
                  <c:v>49.9</c:v>
                </c:pt>
                <c:pt idx="1176">
                  <c:v>48.51</c:v>
                </c:pt>
                <c:pt idx="1177">
                  <c:v>50.09</c:v>
                </c:pt>
                <c:pt idx="1178">
                  <c:v>51.93</c:v>
                </c:pt>
                <c:pt idx="1179">
                  <c:v>50.22</c:v>
                </c:pt>
                <c:pt idx="1180">
                  <c:v>51.09</c:v>
                </c:pt>
                <c:pt idx="1181">
                  <c:v>50.95</c:v>
                </c:pt>
                <c:pt idx="1182">
                  <c:v>50.2</c:v>
                </c:pt>
                <c:pt idx="1183">
                  <c:v>49.44</c:v>
                </c:pt>
                <c:pt idx="1184">
                  <c:v>48.71</c:v>
                </c:pt>
                <c:pt idx="1185">
                  <c:v>50.78</c:v>
                </c:pt>
                <c:pt idx="1186">
                  <c:v>50.13</c:v>
                </c:pt>
                <c:pt idx="1187">
                  <c:v>49.34</c:v>
                </c:pt>
                <c:pt idx="1188">
                  <c:v>49.08</c:v>
                </c:pt>
                <c:pt idx="1189">
                  <c:v>49.61</c:v>
                </c:pt>
                <c:pt idx="1190">
                  <c:v>49.24</c:v>
                </c:pt>
                <c:pt idx="1191">
                  <c:v>48.72</c:v>
                </c:pt>
                <c:pt idx="1192">
                  <c:v>48.52</c:v>
                </c:pt>
                <c:pt idx="1193">
                  <c:v>48.02</c:v>
                </c:pt>
                <c:pt idx="1194">
                  <c:v>47.71</c:v>
                </c:pt>
                <c:pt idx="1195">
                  <c:v>48.81</c:v>
                </c:pt>
                <c:pt idx="1196">
                  <c:v>51.34</c:v>
                </c:pt>
                <c:pt idx="1197">
                  <c:v>53.75</c:v>
                </c:pt>
                <c:pt idx="1198">
                  <c:v>55.39</c:v>
                </c:pt>
                <c:pt idx="1199">
                  <c:v>55.87</c:v>
                </c:pt>
                <c:pt idx="1200">
                  <c:v>53.99</c:v>
                </c:pt>
                <c:pt idx="1201">
                  <c:v>53.07</c:v>
                </c:pt>
                <c:pt idx="1202">
                  <c:v>50.98</c:v>
                </c:pt>
                <c:pt idx="1203">
                  <c:v>51.1</c:v>
                </c:pt>
                <c:pt idx="1204">
                  <c:v>53.65</c:v>
                </c:pt>
                <c:pt idx="1205">
                  <c:v>51.3</c:v>
                </c:pt>
                <c:pt idx="1206">
                  <c:v>50.47</c:v>
                </c:pt>
                <c:pt idx="1207">
                  <c:v>51.51</c:v>
                </c:pt>
                <c:pt idx="1208">
                  <c:v>50.52</c:v>
                </c:pt>
                <c:pt idx="1209">
                  <c:v>50.36</c:v>
                </c:pt>
                <c:pt idx="1210">
                  <c:v>50.31</c:v>
                </c:pt>
                <c:pt idx="1211">
                  <c:v>50.65</c:v>
                </c:pt>
                <c:pt idx="1212">
                  <c:v>50.72</c:v>
                </c:pt>
                <c:pt idx="1213">
                  <c:v>50.22</c:v>
                </c:pt>
                <c:pt idx="1214">
                  <c:v>50.03</c:v>
                </c:pt>
                <c:pt idx="1215">
                  <c:v>51.42</c:v>
                </c:pt>
                <c:pt idx="1216">
                  <c:v>53.24</c:v>
                </c:pt>
                <c:pt idx="1217">
                  <c:v>57.56</c:v>
                </c:pt>
                <c:pt idx="1218">
                  <c:v>65.59</c:v>
                </c:pt>
                <c:pt idx="1219">
                  <c:v>63.25</c:v>
                </c:pt>
                <c:pt idx="1220">
                  <c:v>65.77</c:v>
                </c:pt>
                <c:pt idx="1221">
                  <c:v>63.81</c:v>
                </c:pt>
                <c:pt idx="1222">
                  <c:v>61.42</c:v>
                </c:pt>
                <c:pt idx="1223">
                  <c:v>60.45</c:v>
                </c:pt>
                <c:pt idx="1224">
                  <c:v>57.95</c:v>
                </c:pt>
                <c:pt idx="1225">
                  <c:v>57.39</c:v>
                </c:pt>
                <c:pt idx="1226">
                  <c:v>58.05</c:v>
                </c:pt>
                <c:pt idx="1227">
                  <c:v>38.799999999999997</c:v>
                </c:pt>
                <c:pt idx="1228">
                  <c:v>35.97</c:v>
                </c:pt>
                <c:pt idx="1229">
                  <c:v>37.090000000000003</c:v>
                </c:pt>
                <c:pt idx="1230">
                  <c:v>36.869999999999997</c:v>
                </c:pt>
                <c:pt idx="1231">
                  <c:v>36.89</c:v>
                </c:pt>
                <c:pt idx="1232">
                  <c:v>36.270000000000003</c:v>
                </c:pt>
                <c:pt idx="1233">
                  <c:v>35.700000000000003</c:v>
                </c:pt>
                <c:pt idx="1234">
                  <c:v>37.1</c:v>
                </c:pt>
                <c:pt idx="1235">
                  <c:v>39.47</c:v>
                </c:pt>
                <c:pt idx="1236">
                  <c:v>39.78</c:v>
                </c:pt>
                <c:pt idx="1237">
                  <c:v>39.200000000000003</c:v>
                </c:pt>
                <c:pt idx="1238">
                  <c:v>39.229999999999997</c:v>
                </c:pt>
                <c:pt idx="1239">
                  <c:v>39.65</c:v>
                </c:pt>
                <c:pt idx="1240">
                  <c:v>41.65</c:v>
                </c:pt>
                <c:pt idx="1241">
                  <c:v>43.26</c:v>
                </c:pt>
                <c:pt idx="1242">
                  <c:v>45.13</c:v>
                </c:pt>
                <c:pt idx="1243">
                  <c:v>42.98</c:v>
                </c:pt>
                <c:pt idx="1244">
                  <c:v>43.33</c:v>
                </c:pt>
                <c:pt idx="1245">
                  <c:v>44.57</c:v>
                </c:pt>
                <c:pt idx="1246">
                  <c:v>45.08</c:v>
                </c:pt>
                <c:pt idx="1247">
                  <c:v>43.35</c:v>
                </c:pt>
                <c:pt idx="1248">
                  <c:v>42.52</c:v>
                </c:pt>
                <c:pt idx="1249">
                  <c:v>42</c:v>
                </c:pt>
                <c:pt idx="1250">
                  <c:v>40.869999999999997</c:v>
                </c:pt>
                <c:pt idx="1251">
                  <c:v>38.68</c:v>
                </c:pt>
                <c:pt idx="1252">
                  <c:v>40.4</c:v>
                </c:pt>
                <c:pt idx="1253">
                  <c:v>40.42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8-4C68-B58D-5228DC4E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6624"/>
        <c:axId val="1627656080"/>
      </c:lineChart>
      <c:catAx>
        <c:axId val="1627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4992"/>
        <c:crosses val="autoZero"/>
        <c:auto val="1"/>
        <c:lblAlgn val="ctr"/>
        <c:lblOffset val="100"/>
        <c:noMultiLvlLbl val="0"/>
      </c:catAx>
      <c:valAx>
        <c:axId val="16276549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0595817083928268E-2"/>
              <c:y val="0.27248031496062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354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27656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6624"/>
        <c:crosses val="max"/>
        <c:crossBetween val="between"/>
      </c:valAx>
      <c:catAx>
        <c:axId val="162765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65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BFC-47E2-8B3B-B7F801649681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BFC-47E2-8B3B-B7F801649681}"/>
              </c:ext>
            </c:extLst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BFC-47E2-8B3B-B7F801649681}"/>
              </c:ext>
            </c:extLst>
          </c:dPt>
          <c:dPt>
            <c:idx val="3"/>
            <c:bubble3D val="0"/>
            <c:explosion val="14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BFC-47E2-8B3B-B7F801649681}"/>
              </c:ext>
            </c:extLst>
          </c:dPt>
          <c:dPt>
            <c:idx val="4"/>
            <c:bubble3D val="0"/>
            <c:explosion val="12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BFC-47E2-8B3B-B7F801649681}"/>
              </c:ext>
            </c:extLst>
          </c:dPt>
          <c:dPt>
            <c:idx val="5"/>
            <c:bubble3D val="0"/>
            <c:explosion val="13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DBFC-47E2-8B3B-B7F801649681}"/>
              </c:ext>
            </c:extLst>
          </c:dPt>
          <c:dPt>
            <c:idx val="6"/>
            <c:bubble3D val="0"/>
            <c:explosion val="13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BFC-47E2-8B3B-B7F801649681}"/>
              </c:ext>
            </c:extLst>
          </c:dPt>
          <c:dPt>
            <c:idx val="7"/>
            <c:bubble3D val="0"/>
            <c:explosion val="11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BFC-47E2-8B3B-B7F801649681}"/>
              </c:ext>
            </c:extLst>
          </c:dPt>
          <c:dLbls>
            <c:dLbl>
              <c:idx val="0"/>
              <c:layout>
                <c:manualLayout>
                  <c:x val="-8.7978103081608749E-2"/>
                  <c:y val="-6.87117336139434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F9DC1C-17C3-42EA-92A8-AD24E4446D89}" type="CELLRANGE">
                      <a:rPr lang="en-US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 </a:t>
                    </a:r>
                    <a:fld id="{6E11C2B5-9E2F-4421-8BF6-78A6D4C4416D}" type="CATEGORYNAME"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BFC-47E2-8B3B-B7F801649681}"/>
                </c:ext>
              </c:extLst>
            </c:dLbl>
            <c:dLbl>
              <c:idx val="1"/>
              <c:layout>
                <c:manualLayout>
                  <c:x val="2.1231422505307855E-3"/>
                  <c:y val="-6.87116652930346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9325B8-FF56-475B-94BD-69F2080C1803}" type="CELLRANGE">
                      <a:rPr lang="en-US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accent2">
                            <a:lumMod val="50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 </a:t>
                    </a:r>
                    <a:fld id="{356A6AC6-582C-42A2-9937-61AE18B6B77A}" type="CATEGORYNAME"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FC-47E2-8B3B-B7F801649681}"/>
                </c:ext>
              </c:extLst>
            </c:dLbl>
            <c:dLbl>
              <c:idx val="2"/>
              <c:layout>
                <c:manualLayout>
                  <c:x val="0.10828025477707007"/>
                  <c:y val="-3.92638087388769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3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281D0F-7B7A-4AC2-B89E-6EDF51117288}" type="CELLRANG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accent3">
                            <a:lumMod val="75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 </a:t>
                    </a:r>
                    <a:fld id="{2F92519D-57B2-4D57-B33D-E2CDCBA2989D}" type="CATEGORYNAM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FC-47E2-8B3B-B7F801649681}"/>
                </c:ext>
              </c:extLst>
            </c:dLbl>
            <c:dLbl>
              <c:idx val="3"/>
              <c:layout>
                <c:manualLayout>
                  <c:x val="8.4210526315789472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81AD0F-765A-412C-92A8-CF017EC02C85}" type="CELLRANGE"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accent4">
                            <a:lumMod val="75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</a:t>
                    </a:r>
                    <a:fld id="{1E7E818B-0E01-4DEE-AAE8-B409839E84BA}" type="CATEGORYNAME"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FC-47E2-8B3B-B7F801649681}"/>
                </c:ext>
              </c:extLst>
            </c:dLbl>
            <c:dLbl>
              <c:idx val="4"/>
              <c:layout>
                <c:manualLayout>
                  <c:x val="-2.456860657592249E-2"/>
                  <c:y val="2.85111941652452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731786-F788-49D1-80D9-963E79F321BF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baseline="0"/>
                      <a:t> </a:t>
                    </a:r>
                    <a:fld id="{58B4E378-2BA3-4944-B195-2519DC4A45C7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FC-47E2-8B3B-B7F801649681}"/>
                </c:ext>
              </c:extLst>
            </c:dLbl>
            <c:dLbl>
              <c:idx val="5"/>
              <c:layout>
                <c:manualLayout>
                  <c:x val="-0.20451127156016155"/>
                  <c:y val="1.8433179723502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8C612F-62BD-44AE-B438-932F11DDA015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accent6">
                            <a:lumMod val="75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 </a:t>
                    </a:r>
                    <a:fld id="{B92DDE4F-5202-4332-9F19-70273AB6822E}" type="CATEGORYNAME"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BFC-47E2-8B3B-B7F801649681}"/>
                </c:ext>
              </c:extLst>
            </c:dLbl>
            <c:dLbl>
              <c:idx val="6"/>
              <c:layout>
                <c:manualLayout>
                  <c:x val="-0.23057644110275688"/>
                  <c:y val="-7.85276174777538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DBEFA9-1644-4C56-B67F-A416ACFA55C3}" type="CELLRANGE">
                      <a:rPr lang="en-US">
                        <a:solidFill>
                          <a:schemeClr val="tx2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tx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tx2">
                            <a:lumMod val="75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</a:t>
                    </a:r>
                    <a:fld id="{B4822471-02B7-4EAF-B631-78BD83FC090E}" type="CATEGORYNAME"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tx2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BFC-47E2-8B3B-B7F801649681}"/>
                </c:ext>
              </c:extLst>
            </c:dLbl>
            <c:dLbl>
              <c:idx val="7"/>
              <c:layout>
                <c:manualLayout>
                  <c:x val="0"/>
                  <c:y val="-0.1570552349555074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32ED15-02F7-488D-98AC-8E5012CD85BA}" type="CELLRANGE">
                      <a:rPr lang="en-US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accent2">
                            <a:lumMod val="50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 </a:t>
                    </a:r>
                    <a:fld id="{6562337E-7562-4362-BAFA-4F3B031B45E1}" type="CATEGORYNAME"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FC-47E2-8B3B-B7F8016496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Shareholders!$A$2:$A$9</c:f>
              <c:strCache>
                <c:ptCount val="8"/>
                <c:pt idx="0">
                  <c:v>Metallurgical Industries Co</c:v>
                </c:pt>
                <c:pt idx="1">
                  <c:v>Banque Misr</c:v>
                </c:pt>
                <c:pt idx="2">
                  <c:v>Public Authority for Social Insurance</c:v>
                </c:pt>
                <c:pt idx="3">
                  <c:v>International Commercial &amp; Industrial Investment Co. S.A.E</c:v>
                </c:pt>
                <c:pt idx="4">
                  <c:v>National Investment Bank</c:v>
                </c:pt>
                <c:pt idx="5">
                  <c:v>Tredco Engineering Industries</c:v>
                </c:pt>
                <c:pt idx="6">
                  <c:v>Ali El-Sayad</c:v>
                </c:pt>
                <c:pt idx="7">
                  <c:v>Others &amp; Free Float</c:v>
                </c:pt>
              </c:strCache>
            </c:strRef>
          </c:cat>
          <c:val>
            <c:numRef>
              <c:f>Shareholders!$B$2:$B$9</c:f>
              <c:numCache>
                <c:formatCode>0%</c:formatCode>
                <c:ptCount val="8"/>
                <c:pt idx="0">
                  <c:v>0.27138800000000002</c:v>
                </c:pt>
                <c:pt idx="1">
                  <c:v>9.9839700000000003E-2</c:v>
                </c:pt>
                <c:pt idx="2">
                  <c:v>0.108989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2.15E-3</c:v>
                </c:pt>
                <c:pt idx="6">
                  <c:v>1.44E-2</c:v>
                </c:pt>
                <c:pt idx="7">
                  <c:v>0.47920000000000001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Shareholders!$B$2:$B$9</c15:f>
                <c15:dlblRangeCache>
                  <c:ptCount val="8"/>
                  <c:pt idx="0">
                    <c:v>27%</c:v>
                  </c:pt>
                  <c:pt idx="1">
                    <c:v>10%</c:v>
                  </c:pt>
                  <c:pt idx="2">
                    <c:v>11%</c:v>
                  </c:pt>
                  <c:pt idx="3">
                    <c:v>1%</c:v>
                  </c:pt>
                  <c:pt idx="4">
                    <c:v>1%</c:v>
                  </c:pt>
                  <c:pt idx="5">
                    <c:v>0%</c:v>
                  </c:pt>
                  <c:pt idx="6">
                    <c:v>1%</c:v>
                  </c:pt>
                  <c:pt idx="7">
                    <c:v>48%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DBFC-47E2-8B3B-B7F80164968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96-48A0-A48B-C857295E9DC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96-48A0-A48B-C857295E9DC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96-48A0-A48B-C857295E9DC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96-48A0-A48B-C857295E9DC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96-48A0-A48B-C857295E9DC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96-48A0-A48B-C857295E9D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96-48A0-A48B-C857295E9DC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96-48A0-A48B-C857295E9DC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96-48A0-A48B-C857295E9DC3}"/>
              </c:ext>
            </c:extLst>
          </c:dPt>
          <c:dLbls>
            <c:dLbl>
              <c:idx val="0"/>
              <c:layout>
                <c:manualLayout>
                  <c:x val="1.3250517598343685E-2"/>
                  <c:y val="-1.08548121861078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96-48A0-A48B-C857295E9D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396-48A0-A48B-C857295E9DC3}"/>
                </c:ext>
              </c:extLst>
            </c:dLbl>
            <c:dLbl>
              <c:idx val="2"/>
              <c:layout>
                <c:manualLayout>
                  <c:x val="0"/>
                  <c:y val="6.51288731166472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96-48A0-A48B-C857295E9DC3}"/>
                </c:ext>
              </c:extLst>
            </c:dLbl>
            <c:dLbl>
              <c:idx val="3"/>
              <c:layout>
                <c:manualLayout>
                  <c:x val="0"/>
                  <c:y val="-0.220714514450860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96-48A0-A48B-C857295E9DC3}"/>
                </c:ext>
              </c:extLst>
            </c:dLbl>
            <c:dLbl>
              <c:idx val="4"/>
              <c:layout>
                <c:manualLayout>
                  <c:x val="-3.3126293995859213E-3"/>
                  <c:y val="-3.25644365583236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96-48A0-A48B-C857295E9DC3}"/>
                </c:ext>
              </c:extLst>
            </c:dLbl>
            <c:dLbl>
              <c:idx val="5"/>
              <c:layout>
                <c:manualLayout>
                  <c:x val="5.9627329192546583E-2"/>
                  <c:y val="-0.14111255841940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96-48A0-A48B-C857295E9DC3}"/>
                </c:ext>
              </c:extLst>
            </c:dLbl>
            <c:dLbl>
              <c:idx val="6"/>
              <c:layout>
                <c:manualLayout>
                  <c:x val="0"/>
                  <c:y val="0.1772952657064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96-48A0-A48B-C857295E9D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396-48A0-A48B-C857295E9D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396-48A0-A48B-C857295E9DC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Breakdowns!$B$3:$B$10</c:f>
              <c:strCache>
                <c:ptCount val="8"/>
                <c:pt idx="0">
                  <c:v>Nadeen Alber El Dabaa</c:v>
                </c:pt>
                <c:pt idx="1">
                  <c:v>Banque Misr</c:v>
                </c:pt>
                <c:pt idx="2">
                  <c:v>Essam Alber El Dabaa</c:v>
                </c:pt>
                <c:pt idx="3">
                  <c:v>Kareem Essam Alber</c:v>
                </c:pt>
                <c:pt idx="4">
                  <c:v>Egyptian Global Investment Fund</c:v>
                </c:pt>
                <c:pt idx="5">
                  <c:v>Shareholders Union</c:v>
                </c:pt>
                <c:pt idx="6">
                  <c:v>Alexandria Egypt Fund for Financial Investments</c:v>
                </c:pt>
                <c:pt idx="7">
                  <c:v>Other</c:v>
                </c:pt>
              </c:strCache>
            </c:strRef>
          </c:cat>
          <c:val>
            <c:numRef>
              <c:f>Breakdowns!$C$3:$C$10</c:f>
              <c:numCache>
                <c:formatCode>0%</c:formatCode>
                <c:ptCount val="8"/>
                <c:pt idx="0">
                  <c:v>0.19689000000000001</c:v>
                </c:pt>
                <c:pt idx="1">
                  <c:v>0.15606</c:v>
                </c:pt>
                <c:pt idx="2">
                  <c:v>0.15429000000000001</c:v>
                </c:pt>
                <c:pt idx="3">
                  <c:v>9.9900000000000003E-2</c:v>
                </c:pt>
                <c:pt idx="4">
                  <c:v>7.3499999999999996E-2</c:v>
                </c:pt>
                <c:pt idx="5">
                  <c:v>5.0200000000000002E-2</c:v>
                </c:pt>
                <c:pt idx="6">
                  <c:v>2.2370000000000001E-2</c:v>
                </c:pt>
                <c:pt idx="7">
                  <c:v>0.24678999999999995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96-48A0-A48B-C857295E9D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cust"/>
        <c:custSplit>
          <c:secondPiePt val="1"/>
          <c:secondPiePt val="4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Breakdowns!$B$14</c:f>
              <c:strCache>
                <c:ptCount val="1"/>
                <c:pt idx="0">
                  <c:v>Revenue 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6-4A91-83A2-AB7B824EBC55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6-4A91-83A2-AB7B824EBC5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6-4A91-83A2-AB7B824EBC5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6-4A91-83A2-AB7B824EBC5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6-4A91-83A2-AB7B824EBC5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6-4A91-83A2-AB7B824EBC5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D6-4A91-83A2-AB7B824EB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Breakdowns!$B$15:$B$17</c15:sqref>
                  </c15:fullRef>
                </c:ext>
              </c:extLst>
              <c:f>Breakdowns!$B$15:$B$16</c:f>
              <c:strCache>
                <c:ptCount val="2"/>
                <c:pt idx="0">
                  <c:v>Exports</c:v>
                </c:pt>
                <c:pt idx="1">
                  <c:v>Local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Breakdowns!$C$15:$C$17</c15:sqref>
                  </c15:fullRef>
                </c:ext>
              </c:extLst>
              <c:f>Breakdowns!$C$15:$C$16</c:f>
              <c:numCache>
                <c:formatCode>0.00%</c:formatCode>
                <c:ptCount val="2"/>
                <c:pt idx="0">
                  <c:v>0.14000000000000001</c:v>
                </c:pt>
                <c:pt idx="1">
                  <c:v>0.86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Breakdowns!$C$17</c15:sqref>
                  <c15:spPr xmlns:c15="http://schemas.microsoft.com/office/drawing/2012/chart">
                    <a:solidFill>
                      <a:srgbClr val="C0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1"/>
                    <c:layout>
                      <c:manualLayout>
                        <c:x val="4.4666911963107458E-2"/>
                        <c:y val="6.3874404588315351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3E74-4F4A-8434-2BD47205E1E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3BD6-4A91-83A2-AB7B824EBC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Breakdowns!$B$19</c:f>
              <c:strCache>
                <c:ptCount val="1"/>
                <c:pt idx="0">
                  <c:v>COGS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D-4783-B8B6-4D0F089CD125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D-4783-B8B6-4D0F089CD125}"/>
              </c:ext>
            </c:extLst>
          </c:dPt>
          <c:dPt>
            <c:idx val="2"/>
            <c:bubble3D val="0"/>
            <c:explosion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D-4783-B8B6-4D0F089CD12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6D-4783-B8B6-4D0F089CD12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6D-4783-B8B6-4D0F089CD12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6D-4783-B8B6-4D0F089CD12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6D-4783-B8B6-4D0F089CD12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6D-4783-B8B6-4D0F089CD125}"/>
              </c:ext>
            </c:extLst>
          </c:dPt>
          <c:dLbls>
            <c:dLbl>
              <c:idx val="2"/>
              <c:layout>
                <c:manualLayout>
                  <c:x val="1.2268158069026418E-2"/>
                  <c:y val="2.93065033537474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6D-4783-B8B6-4D0F089CD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Breakdowns!$B$20:$B$24</c:f>
              <c:strCache>
                <c:ptCount val="5"/>
                <c:pt idx="0">
                  <c:v>Raw Materials &amp; packaging</c:v>
                </c:pt>
                <c:pt idx="1">
                  <c:v>Wages and Salaries </c:v>
                </c:pt>
                <c:pt idx="2">
                  <c:v>Fuel &amp; Spare Parts</c:v>
                </c:pt>
                <c:pt idx="3">
                  <c:v>Others</c:v>
                </c:pt>
                <c:pt idx="4">
                  <c:v>Depreciation</c:v>
                </c:pt>
              </c:strCache>
            </c:strRef>
          </c:cat>
          <c:val>
            <c:numRef>
              <c:f>Breakdowns!$C$20:$C$24</c:f>
              <c:numCache>
                <c:formatCode>0%</c:formatCode>
                <c:ptCount val="5"/>
                <c:pt idx="0">
                  <c:v>0.63</c:v>
                </c:pt>
                <c:pt idx="1">
                  <c:v>0.15</c:v>
                </c:pt>
                <c:pt idx="2">
                  <c:v>0.12</c:v>
                </c:pt>
                <c:pt idx="3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6D-4783-B8B6-4D0F089CD1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Fixed Assets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Breakdowns!$B$32</c:f>
              <c:strCache>
                <c:ptCount val="1"/>
                <c:pt idx="0">
                  <c:v>Fixed Assets FY2016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B8-4FCE-BCBC-ED96C9C087C5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B8-4FCE-BCBC-ED96C9C087C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B8-4FCE-BCBC-ED96C9C087C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8-4FCE-BCBC-ED96C9C087C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8-4FCE-BCBC-ED96C9C087C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B8-4FCE-BCBC-ED96C9C087C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B8-4FCE-BCBC-ED96C9C087C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B8-4FCE-BCBC-ED96C9C087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Breakdowns!$B$33:$B$38</c:f>
              <c:strCache>
                <c:ptCount val="6"/>
                <c:pt idx="0">
                  <c:v>AS</c:v>
                </c:pt>
                <c:pt idx="1">
                  <c:v>GSSP</c:v>
                </c:pt>
                <c:pt idx="2">
                  <c:v>PSSP</c:v>
                </c:pt>
                <c:pt idx="3">
                  <c:v>CSA</c:v>
                </c:pt>
                <c:pt idx="4">
                  <c:v>DCP</c:v>
                </c:pt>
                <c:pt idx="5">
                  <c:v>Others</c:v>
                </c:pt>
              </c:strCache>
            </c:strRef>
          </c:cat>
          <c:val>
            <c:numRef>
              <c:f>Breakdowns!$C$33:$C$38</c:f>
              <c:numCache>
                <c:formatCode>0.0%</c:formatCode>
                <c:ptCount val="6"/>
                <c:pt idx="0">
                  <c:v>0.185</c:v>
                </c:pt>
                <c:pt idx="1">
                  <c:v>0.32600000000000001</c:v>
                </c:pt>
                <c:pt idx="2">
                  <c:v>0.3</c:v>
                </c:pt>
                <c:pt idx="3">
                  <c:v>0.16400000000000001</c:v>
                </c:pt>
                <c:pt idx="4">
                  <c:v>2.1000000000000001E-2</c:v>
                </c:pt>
                <c:pt idx="5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B8-4FCE-BCBC-ED96C9C087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Breakdowns!$B$26</c:f>
              <c:strCache>
                <c:ptCount val="1"/>
                <c:pt idx="0">
                  <c:v>SG&amp;A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11-43D9-9030-161F3D883DBB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11-43D9-9030-161F3D883DB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11-43D9-9030-161F3D883DB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11-43D9-9030-161F3D883DB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11-43D9-9030-161F3D883DB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11-43D9-9030-161F3D883DB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11-43D9-9030-161F3D883DB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11-43D9-9030-161F3D883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Breakdowns!$B$27:$B$30</c:f>
              <c:strCache>
                <c:ptCount val="4"/>
                <c:pt idx="0">
                  <c:v>Salaries, Wages, &amp; Social Insurance</c:v>
                </c:pt>
                <c:pt idx="1">
                  <c:v>Others</c:v>
                </c:pt>
                <c:pt idx="2">
                  <c:v>Depreciation</c:v>
                </c:pt>
                <c:pt idx="3">
                  <c:v>Advertising</c:v>
                </c:pt>
              </c:strCache>
            </c:strRef>
          </c:cat>
          <c:val>
            <c:numRef>
              <c:f>Breakdowns!$C$27:$C$30</c:f>
              <c:numCache>
                <c:formatCode>0%</c:formatCode>
                <c:ptCount val="4"/>
                <c:pt idx="0">
                  <c:v>0.56194280888319759</c:v>
                </c:pt>
                <c:pt idx="1">
                  <c:v>0.38410992608589822</c:v>
                </c:pt>
                <c:pt idx="2">
                  <c:v>3.2178655058623912E-2</c:v>
                </c:pt>
                <c:pt idx="3">
                  <c:v>2.1768609972280292E-2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11-43D9-9030-161F3D883D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Breakdowns!$B$40</c:f>
              <c:strCache>
                <c:ptCount val="1"/>
                <c:pt idx="0">
                  <c:v>Inventory 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0-4C21-A9D2-211ED187A03B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0-4C21-A9D2-211ED187A03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0-4C21-A9D2-211ED187A03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F0-4C21-A9D2-211ED187A03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F0-4C21-A9D2-211ED187A03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F0-4C21-A9D2-211ED187A03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F0-4C21-A9D2-211ED187A03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F0-4C21-A9D2-211ED187A03B}"/>
              </c:ext>
            </c:extLst>
          </c:dPt>
          <c:dLbls>
            <c:dLbl>
              <c:idx val="3"/>
              <c:layout>
                <c:manualLayout>
                  <c:x val="3.8103158115324116E-2"/>
                  <c:y val="2.64811791679848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F0-4C21-A9D2-211ED187A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Breakdowns!$B$41:$B$44</c:f>
              <c:strCache>
                <c:ptCount val="4"/>
                <c:pt idx="0">
                  <c:v>Raw Materials</c:v>
                </c:pt>
                <c:pt idx="1">
                  <c:v>Finished Goods</c:v>
                </c:pt>
                <c:pt idx="2">
                  <c:v>Fuel &amp; spare parts</c:v>
                </c:pt>
                <c:pt idx="3">
                  <c:v>WIP</c:v>
                </c:pt>
              </c:strCache>
            </c:strRef>
          </c:cat>
          <c:val>
            <c:numRef>
              <c:f>Breakdowns!$C$41:$C$44</c:f>
              <c:numCache>
                <c:formatCode>0%</c:formatCode>
                <c:ptCount val="4"/>
                <c:pt idx="0">
                  <c:v>0.69604744655564821</c:v>
                </c:pt>
                <c:pt idx="1">
                  <c:v>0.26379109272394452</c:v>
                </c:pt>
                <c:pt idx="2">
                  <c:v>3.3313871959095714E-2</c:v>
                </c:pt>
                <c:pt idx="3">
                  <c:v>6.8475887613114851E-3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F0-4C21-A9D2-211ED187A0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Breakdowns!$C$48</c:f>
              <c:strCache>
                <c:ptCount val="1"/>
                <c:pt idx="0">
                  <c:v>2014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8-4152-9F91-330591252B6F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8-4152-9F91-330591252B6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8-4152-9F91-330591252B6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B8-4152-9F91-330591252B6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B8-4152-9F91-330591252B6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8-4152-9F91-330591252B6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8-4152-9F91-330591252B6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8-4152-9F91-330591252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Breakdowns!$B$49:$B$50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Breakdowns!$C$49:$C$50</c:f>
              <c:numCache>
                <c:formatCode>_(* #,##0_);_(* \(#,##0\);_(* "-"??_);_(@_)</c:formatCode>
                <c:ptCount val="2"/>
                <c:pt idx="0">
                  <c:v>3732817</c:v>
                </c:pt>
                <c:pt idx="1">
                  <c:v>3960664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B8-4152-9F91-330591252B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Liquidity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Ratios!$B$23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Ratios!$F$23:$I$23</c:f>
              <c:numCache>
                <c:formatCode>_(* #,##0.00_);_(* \(#,##0.00\);_(* "-"??_);_(@_)</c:formatCode>
                <c:ptCount val="4"/>
                <c:pt idx="0">
                  <c:v>1.1692161293745884</c:v>
                </c:pt>
                <c:pt idx="1">
                  <c:v>1.684130021368297</c:v>
                </c:pt>
                <c:pt idx="2">
                  <c:v>1.6526022416735171</c:v>
                </c:pt>
                <c:pt idx="3">
                  <c:v>1.6047164000865843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232-A5C0-7C110518645B}"/>
            </c:ext>
          </c:extLst>
        </c:ser>
        <c:ser>
          <c:idx val="1"/>
          <c:order val="1"/>
          <c:tx>
            <c:strRef>
              <c:f>Ratios!$B$24</c:f>
              <c:strCache>
                <c:ptCount val="1"/>
                <c:pt idx="0">
                  <c:v>Quick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Ratios!$F$24:$I$24</c:f>
              <c:numCache>
                <c:formatCode>_(* #,##0.00_);_(* \(#,##0.00\);_(* "-"??_);_(@_)</c:formatCode>
                <c:ptCount val="4"/>
                <c:pt idx="0">
                  <c:v>1.0904523609305805</c:v>
                </c:pt>
                <c:pt idx="1">
                  <c:v>1.5489237643602523</c:v>
                </c:pt>
                <c:pt idx="2">
                  <c:v>1.5161196640001497</c:v>
                </c:pt>
                <c:pt idx="3">
                  <c:v>1.4582003926327431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4-4232-A5C0-7C110518645B}"/>
            </c:ext>
          </c:extLst>
        </c:ser>
        <c:ser>
          <c:idx val="2"/>
          <c:order val="2"/>
          <c:tx>
            <c:strRef>
              <c:f>Ratios!$B$25</c:f>
              <c:strCache>
                <c:ptCount val="1"/>
                <c:pt idx="0">
                  <c:v>Cash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Ratios!$F$25:$I$25</c:f>
              <c:numCache>
                <c:formatCode>0.0%</c:formatCode>
                <c:ptCount val="4"/>
                <c:pt idx="0">
                  <c:v>0.90427698251193356</c:v>
                </c:pt>
                <c:pt idx="1">
                  <c:v>1.2674706002388845</c:v>
                </c:pt>
                <c:pt idx="2">
                  <c:v>1.215148594334303</c:v>
                </c:pt>
                <c:pt idx="3">
                  <c:v>1.1514936291223599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4-4232-A5C0-7C110518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632144"/>
        <c:axId val="1627641936"/>
      </c:lineChart>
      <c:catAx>
        <c:axId val="16276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641936"/>
        <c:crosses val="autoZero"/>
        <c:auto val="1"/>
        <c:lblAlgn val="ctr"/>
        <c:lblOffset val="100"/>
        <c:noMultiLvlLbl val="1"/>
      </c:catAx>
      <c:valAx>
        <c:axId val="1627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6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normalizeH="0" baseline="0">
              <a:solidFill>
                <a:srgbClr val="1F497D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1"/>
          <c:order val="0"/>
          <c:tx>
            <c:strRef>
              <c:f>Breakdowns!$E$48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D-431F-85FE-2B9120CB0FC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D-431F-85FE-2B9120CB0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Breakdowns!$B$49:$B$50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Breakdowns!$E$49:$E$50</c:f>
              <c:numCache>
                <c:formatCode>_(* #,##0_);_(* \(#,##0\);_(* "-"??_);_(@_)</c:formatCode>
                <c:ptCount val="2"/>
                <c:pt idx="0">
                  <c:v>7070306</c:v>
                </c:pt>
                <c:pt idx="1">
                  <c:v>4843130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D-431F-85FE-2B9120CB0FC6}"/>
            </c:ext>
          </c:extLst>
        </c:ser>
        <c:ser>
          <c:idx val="2"/>
          <c:order val="1"/>
          <c:tx>
            <c:strRef>
              <c:f>Breakdowns!$D$48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9D-431F-85FE-2B9120CB0FC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9D-431F-85FE-2B9120CB0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Breakdowns!$B$49:$B$50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Breakdowns!$D$49:$D$50</c:f>
              <c:numCache>
                <c:formatCode>_(* #,##0_);_(* \(#,##0\);_(* "-"??_);_(@_)</c:formatCode>
                <c:ptCount val="2"/>
                <c:pt idx="0">
                  <c:v>20847496</c:v>
                </c:pt>
                <c:pt idx="1">
                  <c:v>4465098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D-431F-85FE-2B9120CB0FC6}"/>
            </c:ext>
          </c:extLst>
        </c:ser>
        <c:ser>
          <c:idx val="0"/>
          <c:order val="2"/>
          <c:tx>
            <c:strRef>
              <c:f>Breakdowns!$D$48</c:f>
              <c:strCache>
                <c:ptCount val="1"/>
                <c:pt idx="0">
                  <c:v>2015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9D-431F-85FE-2B9120CB0FC6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9D-431F-85FE-2B9120CB0FC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D-431F-85FE-2B9120CB0FC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9D-431F-85FE-2B9120CB0FC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9D-431F-85FE-2B9120CB0FC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9D-431F-85FE-2B9120CB0FC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9D-431F-85FE-2B9120CB0FC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9D-431F-85FE-2B9120CB0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Breakdowns!$B$49:$B$50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Breakdowns!$D$49:$D$50</c:f>
              <c:numCache>
                <c:formatCode>_(* #,##0_);_(* \(#,##0\);_(* "-"??_);_(@_)</c:formatCode>
                <c:ptCount val="2"/>
                <c:pt idx="0">
                  <c:v>20847496</c:v>
                </c:pt>
                <c:pt idx="1">
                  <c:v>4465098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9D-431F-85FE-2B9120CB0F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2D-42B3-ABCC-A7BA59024CA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2D-42B3-ABCC-A7BA59024CA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2D-42B3-ABCC-A7BA59024CA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2D-42B3-ABCC-A7BA59024CA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2D-42B3-ABCC-A7BA59024CA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2D-42B3-ABCC-A7BA59024C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2D-42B3-ABCC-A7BA59024CA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2D-42B3-ABCC-A7BA59024CA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02D-42B3-ABCC-A7BA59024CA9}"/>
              </c:ext>
            </c:extLst>
          </c:dPt>
          <c:dLbls>
            <c:dLbl>
              <c:idx val="0"/>
              <c:layout>
                <c:manualLayout>
                  <c:x val="1.3250517598343685E-2"/>
                  <c:y val="-1.08548121861078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2D-42B3-ABCC-A7BA59024C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02D-42B3-ABCC-A7BA59024CA9}"/>
                </c:ext>
              </c:extLst>
            </c:dLbl>
            <c:dLbl>
              <c:idx val="2"/>
              <c:layout>
                <c:manualLayout>
                  <c:x val="0"/>
                  <c:y val="6.51288731166472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2D-42B3-ABCC-A7BA59024CA9}"/>
                </c:ext>
              </c:extLst>
            </c:dLbl>
            <c:dLbl>
              <c:idx val="3"/>
              <c:layout>
                <c:manualLayout>
                  <c:x val="0"/>
                  <c:y val="-0.220714514450860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2D-42B3-ABCC-A7BA59024CA9}"/>
                </c:ext>
              </c:extLst>
            </c:dLbl>
            <c:dLbl>
              <c:idx val="4"/>
              <c:layout>
                <c:manualLayout>
                  <c:x val="-3.3126293995859213E-3"/>
                  <c:y val="-3.25644365583236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2D-42B3-ABCC-A7BA59024CA9}"/>
                </c:ext>
              </c:extLst>
            </c:dLbl>
            <c:dLbl>
              <c:idx val="5"/>
              <c:layout>
                <c:manualLayout>
                  <c:x val="5.9627329192546583E-2"/>
                  <c:y val="-0.14111255841940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2D-42B3-ABCC-A7BA59024CA9}"/>
                </c:ext>
              </c:extLst>
            </c:dLbl>
            <c:dLbl>
              <c:idx val="6"/>
              <c:layout>
                <c:manualLayout>
                  <c:x val="0"/>
                  <c:y val="0.1772952657064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2D-42B3-ABCC-A7BA59024CA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02D-42B3-ABCC-A7BA59024CA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002D-42B3-ABCC-A7BA59024C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Sheet1!$B$3:$B$10</c:f>
              <c:strCache>
                <c:ptCount val="8"/>
                <c:pt idx="0">
                  <c:v>Nadeen Alber El Dabaa</c:v>
                </c:pt>
                <c:pt idx="1">
                  <c:v>Banque Misr</c:v>
                </c:pt>
                <c:pt idx="2">
                  <c:v>Essam Alber El Dabaa</c:v>
                </c:pt>
                <c:pt idx="3">
                  <c:v>Kareem Essam Alber</c:v>
                </c:pt>
                <c:pt idx="4">
                  <c:v>Egyptian Global Investment Fund</c:v>
                </c:pt>
                <c:pt idx="5">
                  <c:v>Shareholders Union</c:v>
                </c:pt>
                <c:pt idx="6">
                  <c:v>Alexandria Egypt Fund for Financial Investments</c:v>
                </c:pt>
                <c:pt idx="7">
                  <c:v>Other</c:v>
                </c:pt>
              </c:strCache>
            </c:strRef>
          </c:cat>
          <c:val>
            <c:numRef>
              <c:f>Sheet1!$C$3:$C$10</c:f>
              <c:numCache>
                <c:formatCode>0.000%</c:formatCode>
                <c:ptCount val="8"/>
                <c:pt idx="0">
                  <c:v>0.19689000000000001</c:v>
                </c:pt>
                <c:pt idx="1">
                  <c:v>0.15606</c:v>
                </c:pt>
                <c:pt idx="2">
                  <c:v>0.15429000000000001</c:v>
                </c:pt>
                <c:pt idx="3">
                  <c:v>9.9900000000000003E-2</c:v>
                </c:pt>
                <c:pt idx="4">
                  <c:v>7.3499999999999996E-2</c:v>
                </c:pt>
                <c:pt idx="5">
                  <c:v>5.0200000000000002E-2</c:v>
                </c:pt>
                <c:pt idx="6">
                  <c:v>2.2370000000000001E-2</c:v>
                </c:pt>
                <c:pt idx="7">
                  <c:v>0.24678999999999995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2D-42B3-ABCC-A7BA59024C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cust"/>
        <c:custSplit>
          <c:secondPiePt val="1"/>
          <c:secondPiePt val="4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Revenue 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9-47BF-9134-C96762AE3CF5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9-47BF-9134-C96762AE3CF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9-47BF-9134-C96762AE3CF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79-47BF-9134-C96762AE3CF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79-47BF-9134-C96762AE3CF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79-47BF-9134-C96762AE3C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79-47BF-9134-C96762AE3CF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79-47BF-9134-C96762AE3CF5}"/>
              </c:ext>
            </c:extLst>
          </c:dPt>
          <c:dLbls>
            <c:dLbl>
              <c:idx val="2"/>
              <c:layout>
                <c:manualLayout>
                  <c:x val="4.4666911963107458E-2"/>
                  <c:y val="6.38744045883153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9-47BF-9134-C96762AE3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Sheet1!$B$15:$B$17</c:f>
              <c:strCache>
                <c:ptCount val="3"/>
                <c:pt idx="0">
                  <c:v>Company Products </c:v>
                </c:pt>
                <c:pt idx="1">
                  <c:v>Commercial Goods </c:v>
                </c:pt>
                <c:pt idx="2">
                  <c:v>Services </c:v>
                </c:pt>
              </c:strCache>
            </c:strRef>
          </c:cat>
          <c:val>
            <c:numRef>
              <c:f>Sheet1!$C$15:$C$17</c:f>
              <c:numCache>
                <c:formatCode>0.00%</c:formatCode>
                <c:ptCount val="3"/>
                <c:pt idx="0">
                  <c:v>0.94164230438641039</c:v>
                </c:pt>
                <c:pt idx="1">
                  <c:v>5.5888167115575524E-2</c:v>
                </c:pt>
                <c:pt idx="2">
                  <c:v>2.4695284980140457E-3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79-47BF-9134-C96762AE3C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0070C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COGS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8-4432-A0A7-49EAA7E15BCC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8-4432-A0A7-49EAA7E15BCC}"/>
              </c:ext>
            </c:extLst>
          </c:dPt>
          <c:dPt>
            <c:idx val="2"/>
            <c:bubble3D val="0"/>
            <c:explosion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8-4432-A0A7-49EAA7E15BC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8-4432-A0A7-49EAA7E15BC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8-4432-A0A7-49EAA7E15BC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F8-4432-A0A7-49EAA7E15BC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F8-4432-A0A7-49EAA7E15BC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F8-4432-A0A7-49EAA7E15BCC}"/>
              </c:ext>
            </c:extLst>
          </c:dPt>
          <c:dLbls>
            <c:dLbl>
              <c:idx val="2"/>
              <c:layout>
                <c:manualLayout>
                  <c:x val="1.2268158069026418E-2"/>
                  <c:y val="2.93065033537474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F8-4432-A0A7-49EAA7E15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Sheet1!$B$20:$B$23</c:f>
              <c:strCache>
                <c:ptCount val="4"/>
                <c:pt idx="0">
                  <c:v>Raw Materials &amp; packaging</c:v>
                </c:pt>
                <c:pt idx="1">
                  <c:v>Wages and Salaries </c:v>
                </c:pt>
                <c:pt idx="2">
                  <c:v>Others </c:v>
                </c:pt>
                <c:pt idx="3">
                  <c:v>Depreciation</c:v>
                </c:pt>
              </c:strCache>
            </c:strRef>
          </c:cat>
          <c:val>
            <c:numRef>
              <c:f>Sheet1!$C$20:$C$23</c:f>
              <c:numCache>
                <c:formatCode>0%</c:formatCode>
                <c:ptCount val="4"/>
                <c:pt idx="0">
                  <c:v>0.82208664783730778</c:v>
                </c:pt>
                <c:pt idx="1">
                  <c:v>0.11222793619232914</c:v>
                </c:pt>
                <c:pt idx="2">
                  <c:v>5.2761407397830799E-2</c:v>
                </c:pt>
                <c:pt idx="3">
                  <c:v>1.2924008572532295E-2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F8-4432-A0A7-49EAA7E15B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Fixed Assets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Fixed Assets FY2016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F-4B7C-A93A-9DE55EA648DA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F-4B7C-A93A-9DE55EA648D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F-4B7C-A93A-9DE55EA648D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F-4B7C-A93A-9DE55EA648D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F-4B7C-A93A-9DE55EA648D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F-4B7C-A93A-9DE55EA648D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F-4B7C-A93A-9DE55EA648D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F-4B7C-A93A-9DE55EA64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Sheet1!$B$32:$B$37</c:f>
              <c:strCache>
                <c:ptCount val="6"/>
                <c:pt idx="0">
                  <c:v>Land</c:v>
                </c:pt>
                <c:pt idx="1">
                  <c:v>Buildings and Infrastructure</c:v>
                </c:pt>
                <c:pt idx="2">
                  <c:v>Machinery and Equipment</c:v>
                </c:pt>
                <c:pt idx="3">
                  <c:v>Vehicles</c:v>
                </c:pt>
                <c:pt idx="4">
                  <c:v>Furniture and Fixtures</c:v>
                </c:pt>
                <c:pt idx="5">
                  <c:v>Tools</c:v>
                </c:pt>
              </c:strCache>
            </c:strRef>
          </c:cat>
          <c:val>
            <c:numRef>
              <c:f>Sheet1!$C$32:$C$37</c:f>
              <c:numCache>
                <c:formatCode>0%</c:formatCode>
                <c:ptCount val="6"/>
                <c:pt idx="0">
                  <c:v>0.56725725441949093</c:v>
                </c:pt>
                <c:pt idx="1">
                  <c:v>0.19658493334056798</c:v>
                </c:pt>
                <c:pt idx="2">
                  <c:v>0.18914321144360047</c:v>
                </c:pt>
                <c:pt idx="3">
                  <c:v>2.2157362309351059E-2</c:v>
                </c:pt>
                <c:pt idx="4">
                  <c:v>1.2519800299100201E-2</c:v>
                </c:pt>
                <c:pt idx="5">
                  <c:v>1.2337438187889307E-2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6F-4B7C-A93A-9DE55EA648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SG&amp;A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AE-4E21-9E73-9C6EF68F5AE5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AE-4E21-9E73-9C6EF68F5AE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AE-4E21-9E73-9C6EF68F5A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AE-4E21-9E73-9C6EF68F5A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AE-4E21-9E73-9C6EF68F5A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AE-4E21-9E73-9C6EF68F5A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AE-4E21-9E73-9C6EF68F5A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AE-4E21-9E73-9C6EF68F5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Sheet1!$B$26:$B$29</c:f>
              <c:strCache>
                <c:ptCount val="4"/>
                <c:pt idx="0">
                  <c:v>Salaries, Wages, &amp; Social Insurance</c:v>
                </c:pt>
                <c:pt idx="1">
                  <c:v>Others</c:v>
                </c:pt>
                <c:pt idx="2">
                  <c:v>Depreciation</c:v>
                </c:pt>
                <c:pt idx="3">
                  <c:v>Advertising</c:v>
                </c:pt>
              </c:strCache>
            </c:strRef>
          </c:cat>
          <c:val>
            <c:numRef>
              <c:f>Sheet1!$C$26:$C$29</c:f>
              <c:numCache>
                <c:formatCode>0%</c:formatCode>
                <c:ptCount val="4"/>
                <c:pt idx="0">
                  <c:v>0.56194280888319759</c:v>
                </c:pt>
                <c:pt idx="1">
                  <c:v>0.38410992608589822</c:v>
                </c:pt>
                <c:pt idx="2">
                  <c:v>3.2178655058623912E-2</c:v>
                </c:pt>
                <c:pt idx="3">
                  <c:v>2.1768609972280292E-2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AE-4E21-9E73-9C6EF68F5A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Inventory 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B-4C48-BF74-F89C1FF017D6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B-4C48-BF74-F89C1FF017D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B-4C48-BF74-F89C1FF017D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B-4C48-BF74-F89C1FF017D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6B-4C48-BF74-F89C1FF017D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6B-4C48-BF74-F89C1FF017D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6B-4C48-BF74-F89C1FF017D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6B-4C48-BF74-F89C1FF017D6}"/>
              </c:ext>
            </c:extLst>
          </c:dPt>
          <c:dLbls>
            <c:dLbl>
              <c:idx val="3"/>
              <c:layout>
                <c:manualLayout>
                  <c:x val="3.8103158115324116E-2"/>
                  <c:y val="2.64811791679848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6B-4C48-BF74-F89C1FF017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Sheet1!$B$40:$B$43</c:f>
              <c:strCache>
                <c:ptCount val="4"/>
                <c:pt idx="0">
                  <c:v>Raw Materials</c:v>
                </c:pt>
                <c:pt idx="1">
                  <c:v>Finished Goods</c:v>
                </c:pt>
                <c:pt idx="2">
                  <c:v>Fuel &amp; spare parts</c:v>
                </c:pt>
                <c:pt idx="3">
                  <c:v>WIP</c:v>
                </c:pt>
              </c:strCache>
            </c:strRef>
          </c:cat>
          <c:val>
            <c:numRef>
              <c:f>Sheet1!$C$40:$C$43</c:f>
              <c:numCache>
                <c:formatCode>0%</c:formatCode>
                <c:ptCount val="4"/>
                <c:pt idx="0">
                  <c:v>0.69604744655564821</c:v>
                </c:pt>
                <c:pt idx="1">
                  <c:v>0.26379109272394452</c:v>
                </c:pt>
                <c:pt idx="2">
                  <c:v>3.3313871959095714E-2</c:v>
                </c:pt>
                <c:pt idx="3">
                  <c:v>6.8475887613114851E-3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6B-4C48-BF74-F89C1FF017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4178403634407"/>
          <c:y val="0.211679117693087"/>
          <c:w val="0.31840804547147944"/>
          <c:h val="0.72570402523700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0"/>
          <c:order val="0"/>
          <c:tx>
            <c:strRef>
              <c:f>Sheet1!$C$47</c:f>
              <c:strCache>
                <c:ptCount val="1"/>
                <c:pt idx="0">
                  <c:v>2014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F-48CA-B92B-FE932A19092C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F-48CA-B92B-FE932A19092C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BF-48CA-B92B-FE932A19092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BF-48CA-B92B-FE932A19092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BF-48CA-B92B-FE932A19092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BF-48CA-B92B-FE932A19092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BF-48CA-B92B-FE932A1909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BF-48CA-B92B-FE932A190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Sheet1!$B$48:$B$49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Sheet1!$C$48:$C$49</c:f>
              <c:numCache>
                <c:formatCode>_(* #,##0_);_(* \(#,##0\);_(* "-"??_);_(@_)</c:formatCode>
                <c:ptCount val="2"/>
                <c:pt idx="0">
                  <c:v>3732817</c:v>
                </c:pt>
                <c:pt idx="1">
                  <c:v>3960664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BF-48CA-B92B-FE932A1909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normalizeH="0" baseline="0">
              <a:solidFill>
                <a:srgbClr val="1F497D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61777671992713E-2"/>
          <c:y val="0.20252205355451405"/>
          <c:w val="0.36628200285619672"/>
          <c:h val="0.77741765437488164"/>
        </c:manualLayout>
      </c:layout>
      <c:pieChart>
        <c:varyColors val="1"/>
        <c:ser>
          <c:idx val="1"/>
          <c:order val="0"/>
          <c:tx>
            <c:strRef>
              <c:f>Sheet1!$E$47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F-499A-9C33-5D98EEFC994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F-499A-9C33-5D98EEFC9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Sheet1!$B$48:$B$49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Sheet1!$E$48:$E$49</c:f>
              <c:numCache>
                <c:formatCode>_(* #,##0_);_(* \(#,##0\);_(* "-"??_);_(@_)</c:formatCode>
                <c:ptCount val="2"/>
                <c:pt idx="0">
                  <c:v>7070306</c:v>
                </c:pt>
                <c:pt idx="1">
                  <c:v>4843130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F-499A-9C33-5D98EEFC9940}"/>
            </c:ext>
          </c:extLst>
        </c:ser>
        <c:ser>
          <c:idx val="2"/>
          <c:order val="1"/>
          <c:tx>
            <c:strRef>
              <c:f>Sheet1!$D$47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1F-499A-9C33-5D98EEFC994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1F-499A-9C33-5D98EEFC9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Sheet1!$B$48:$B$49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Sheet1!$D$48:$D$49</c:f>
              <c:numCache>
                <c:formatCode>_(* #,##0_);_(* \(#,##0\);_(* "-"??_);_(@_)</c:formatCode>
                <c:ptCount val="2"/>
                <c:pt idx="0">
                  <c:v>20847496</c:v>
                </c:pt>
                <c:pt idx="1">
                  <c:v>4465098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1F-499A-9C33-5D98EEFC9940}"/>
            </c:ext>
          </c:extLst>
        </c:ser>
        <c:ser>
          <c:idx val="0"/>
          <c:order val="2"/>
          <c:tx>
            <c:strRef>
              <c:f>Sheet1!$D$47</c:f>
              <c:strCache>
                <c:ptCount val="1"/>
                <c:pt idx="0">
                  <c:v>2015</c:v>
                </c:pt>
              </c:strCache>
            </c:strRef>
          </c:tx>
          <c:explosion val="19"/>
          <c:dPt>
            <c:idx val="0"/>
            <c:bubble3D val="0"/>
            <c:explosion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1F-499A-9C33-5D98EEFC9940}"/>
              </c:ext>
            </c:extLst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1F-499A-9C33-5D98EEFC994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1F-499A-9C33-5D98EEFC994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1F-499A-9C33-5D98EEFC994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1F-499A-9C33-5D98EEFC994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1F-499A-9C33-5D98EEFC994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1F-499A-9C33-5D98EEFC994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1F-499A-9C33-5D98EEFC9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Sheet1!$B$48:$B$49</c:f>
              <c:strCache>
                <c:ptCount val="2"/>
                <c:pt idx="0">
                  <c:v>Addition </c:v>
                </c:pt>
                <c:pt idx="1">
                  <c:v>Depreciation</c:v>
                </c:pt>
              </c:strCache>
            </c:strRef>
          </c:cat>
          <c:val>
            <c:numRef>
              <c:f>Sheet1!$D$48:$D$49</c:f>
              <c:numCache>
                <c:formatCode>_(* #,##0_);_(* \(#,##0\);_(* "-"??_);_(@_)</c:formatCode>
                <c:ptCount val="2"/>
                <c:pt idx="0">
                  <c:v>20847496</c:v>
                </c:pt>
                <c:pt idx="1">
                  <c:v>4465098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1F-499A-9C33-5D98EEFC99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Net Sales and 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Ratios!$F$73:$I$73</c:f>
              <c:numCache>
                <c:formatCode>_(* #,##0_);_(* \(#,##0\);_(* "-"??_);_(@_)</c:formatCode>
                <c:ptCount val="4"/>
                <c:pt idx="0">
                  <c:v>1844680880</c:v>
                </c:pt>
                <c:pt idx="1">
                  <c:v>2029148968.0000002</c:v>
                </c:pt>
                <c:pt idx="2">
                  <c:v>2232063864.8000007</c:v>
                </c:pt>
                <c:pt idx="3">
                  <c:v>2522232167.2240005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6-4210-AE87-9D04DDDD2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27647376"/>
        <c:axId val="1627638672"/>
      </c:barChart>
      <c:lineChart>
        <c:grouping val="stacked"/>
        <c:varyColors val="0"/>
        <c:ser>
          <c:idx val="1"/>
          <c:order val="1"/>
          <c:tx>
            <c:strRef>
              <c:f>Ratios!$B$7</c:f>
              <c:strCache>
                <c:ptCount val="1"/>
                <c:pt idx="0">
                  <c:v>% Sales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29E-2"/>
                  <c:y val="-4.166666666666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36-4210-AE87-9D04DDDD2490}"/>
                </c:ext>
              </c:extLst>
            </c:dLbl>
            <c:dLbl>
              <c:idx val="1"/>
              <c:layout>
                <c:manualLayout>
                  <c:x val="-5.277777777777782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36-4210-AE87-9D04DDDD2490}"/>
                </c:ext>
              </c:extLst>
            </c:dLbl>
            <c:dLbl>
              <c:idx val="2"/>
              <c:layout>
                <c:manualLayout>
                  <c:x val="2.222222222222222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36-4210-AE87-9D04DDDD2490}"/>
                </c:ext>
              </c:extLst>
            </c:dLbl>
            <c:dLbl>
              <c:idx val="3"/>
              <c:layout>
                <c:manualLayout>
                  <c:x val="-7.222222222222221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36-4210-AE87-9D04DDDD24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Ratios!$B$119:$B$123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Q3 2016</c:v>
                </c:pt>
                <c:pt idx="4">
                  <c:v>Q3 2017</c:v>
                </c:pt>
              </c:strCache>
            </c:strRef>
          </c:cat>
          <c:val>
            <c:numRef>
              <c:f>Ratios!$F$7:$I$7</c:f>
              <c:numCache>
                <c:formatCode>0.0%</c:formatCode>
                <c:ptCount val="4"/>
                <c:pt idx="0">
                  <c:v>-6.3093401332307009E-3</c:v>
                </c:pt>
                <c:pt idx="1">
                  <c:v>0.10000000000000009</c:v>
                </c:pt>
                <c:pt idx="2">
                  <c:v>0.10000000000000009</c:v>
                </c:pt>
                <c:pt idx="3">
                  <c:v>0.12999999999999989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6-4210-AE87-9D04DDDD2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7649552"/>
        <c:axId val="1627639760"/>
      </c:lineChart>
      <c:catAx>
        <c:axId val="162764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638672"/>
        <c:crosses val="autoZero"/>
        <c:auto val="1"/>
        <c:lblAlgn val="ctr"/>
        <c:lblOffset val="100"/>
        <c:noMultiLvlLbl val="1"/>
      </c:catAx>
      <c:valAx>
        <c:axId val="16276386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647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6276397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649552"/>
        <c:crosses val="max"/>
        <c:crossBetween val="between"/>
      </c:valAx>
      <c:catAx>
        <c:axId val="162764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63976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2">
              <a:lumMod val="7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Operating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Ratios!$B$101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Ratios!$F$101:$I$101</c:f>
              <c:numCache>
                <c:formatCode>_(* #,##0_);_(* \(#,##0\);_(* "-"??_);_(@_)</c:formatCode>
                <c:ptCount val="4"/>
                <c:pt idx="0">
                  <c:v>2450972018</c:v>
                </c:pt>
                <c:pt idx="1">
                  <c:v>2596068341.9339724</c:v>
                </c:pt>
                <c:pt idx="2">
                  <c:v>2895009530.1566234</c:v>
                </c:pt>
                <c:pt idx="3">
                  <c:v>3338033442.9696317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8-4A50-85B1-DD14BDC4C422}"/>
            </c:ext>
          </c:extLst>
        </c:ser>
        <c:ser>
          <c:idx val="3"/>
          <c:order val="2"/>
          <c:tx>
            <c:strRef>
              <c:f>Ratios!$B$107</c:f>
              <c:strCache>
                <c:ptCount val="1"/>
                <c:pt idx="0">
                  <c:v>Fixed Assets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Ratios!$F$107:$I$107</c:f>
              <c:numCache>
                <c:formatCode>_(* #,##0_);_(* \(#,##0\);_(* "-"??_);_(@_)</c:formatCode>
                <c:ptCount val="4"/>
                <c:pt idx="0">
                  <c:v>575070082</c:v>
                </c:pt>
                <c:pt idx="1">
                  <c:v>705814880.54999995</c:v>
                </c:pt>
                <c:pt idx="2">
                  <c:v>867953256.12249994</c:v>
                </c:pt>
                <c:pt idx="3">
                  <c:v>1068851440.8886251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8-4A50-85B1-DD14BDC4C422}"/>
            </c:ext>
          </c:extLst>
        </c:ser>
        <c:ser>
          <c:idx val="1"/>
          <c:order val="3"/>
          <c:tx>
            <c:strRef>
              <c:f>Ratios!$B$73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Ratios!$F$73:$I$73</c:f>
              <c:numCache>
                <c:formatCode>_(* #,##0_);_(* \(#,##0\);_(* "-"??_);_(@_)</c:formatCode>
                <c:ptCount val="4"/>
                <c:pt idx="0">
                  <c:v>1844680880</c:v>
                </c:pt>
                <c:pt idx="1">
                  <c:v>2029148968.0000002</c:v>
                </c:pt>
                <c:pt idx="2">
                  <c:v>2232063864.8000007</c:v>
                </c:pt>
                <c:pt idx="3">
                  <c:v>2522232167.2240005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8-4A50-85B1-DD14BDC4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96368"/>
        <c:axId val="1554990384"/>
      </c:barChart>
      <c:lineChart>
        <c:grouping val="standard"/>
        <c:varyColors val="0"/>
        <c:ser>
          <c:idx val="0"/>
          <c:order val="0"/>
          <c:tx>
            <c:strRef>
              <c:f>Ratios!$B$42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053361388874038E-2"/>
                  <c:y val="-2.5098037149047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8-4A50-85B1-DD14BDC4C422}"/>
                </c:ext>
              </c:extLst>
            </c:dLbl>
            <c:dLbl>
              <c:idx val="1"/>
              <c:layout>
                <c:manualLayout>
                  <c:x val="-2.3223051982311758E-2"/>
                  <c:y val="-3.3300681731198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98-4A50-85B1-DD14BDC4C422}"/>
                </c:ext>
              </c:extLst>
            </c:dLbl>
            <c:dLbl>
              <c:idx val="2"/>
              <c:layout>
                <c:manualLayout>
                  <c:x val="-1.570599133076498E-2"/>
                  <c:y val="-3.3593460255755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45967221639482E-2"/>
                      <c:h val="3.41883992249659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C98-4A50-85B1-DD14BDC4C422}"/>
                </c:ext>
              </c:extLst>
            </c:dLbl>
            <c:dLbl>
              <c:idx val="3"/>
              <c:layout>
                <c:manualLayout>
                  <c:x val="-1.9170473443703245E-2"/>
                  <c:y val="-2.5522925179523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98-4A50-85B1-DD14BDC4C422}"/>
                </c:ext>
              </c:extLst>
            </c:dLbl>
            <c:dLbl>
              <c:idx val="4"/>
              <c:layout>
                <c:manualLayout>
                  <c:x val="-9.7608886157245188E-3"/>
                  <c:y val="-2.5381295836031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98-4A50-85B1-DD14BDC4C42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Ratios!$B$119:$B$123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Q3 2016</c:v>
                </c:pt>
                <c:pt idx="4">
                  <c:v>Q3 2017</c:v>
                </c:pt>
              </c:strCache>
            </c:strRef>
          </c:cat>
          <c:val>
            <c:numRef>
              <c:f>Ratios!$F$42:$I$42</c:f>
              <c:numCache>
                <c:formatCode>0_);\(0\)</c:formatCode>
                <c:ptCount val="4"/>
                <c:pt idx="0">
                  <c:v>0.75263237052590459</c:v>
                </c:pt>
                <c:pt idx="1">
                  <c:v>0.781623863757131</c:v>
                </c:pt>
                <c:pt idx="2">
                  <c:v>0.77100397824225586</c:v>
                </c:pt>
                <c:pt idx="3">
                  <c:v>0.75560422335976785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8-4A50-85B1-DD14BDC4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87664"/>
        <c:axId val="1554983856"/>
      </c:lineChart>
      <c:catAx>
        <c:axId val="15549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0384"/>
        <c:crosses val="autoZero"/>
        <c:auto val="1"/>
        <c:lblAlgn val="ctr"/>
        <c:lblOffset val="100"/>
        <c:noMultiLvlLbl val="0"/>
      </c:catAx>
      <c:valAx>
        <c:axId val="1554990384"/>
        <c:scaling>
          <c:orientation val="minMax"/>
          <c:max val="9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63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554983856"/>
        <c:scaling>
          <c:orientation val="minMax"/>
          <c:min val="0.35000000000000003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87664"/>
        <c:crosses val="max"/>
        <c:crossBetween val="between"/>
      </c:valAx>
      <c:catAx>
        <c:axId val="155498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98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1F497D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kern="1200" spc="0" baseline="0">
                <a:solidFill>
                  <a:srgbClr val="1F497D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Financial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1F497D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Ratios!$B$108</c:f>
              <c:strCache>
                <c:ptCount val="1"/>
                <c:pt idx="0">
                  <c:v>Total liabilities Excluding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Ratios!$F$108:$I$108</c:f>
              <c:numCache>
                <c:formatCode>_(* #,##0_);_(* \(#,##0\);_(* "-"??_);_(@_)</c:formatCode>
                <c:ptCount val="4"/>
                <c:pt idx="0">
                  <c:v>1532534486</c:v>
                </c:pt>
                <c:pt idx="1">
                  <c:v>1102567445.0526028</c:v>
                </c:pt>
                <c:pt idx="2">
                  <c:v>1206227693.2578633</c:v>
                </c:pt>
                <c:pt idx="3">
                  <c:v>1376044054.1035013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F-49AE-955D-0605AA0032EE}"/>
            </c:ext>
          </c:extLst>
        </c:ser>
        <c:ser>
          <c:idx val="3"/>
          <c:order val="2"/>
          <c:tx>
            <c:strRef>
              <c:f>Ratios!$B$102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185067526415994E-16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6F-49AE-955D-0605AA0032EE}"/>
                </c:ext>
              </c:extLst>
            </c:dLbl>
            <c:dLbl>
              <c:idx val="4"/>
              <c:layout>
                <c:manualLayout>
                  <c:x val="-2.0370135052831988E-16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6F-49AE-955D-0605AA0032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Ratios!$F$102:$I$102</c:f>
              <c:numCache>
                <c:formatCode>_(* #,##0_);_(* \(#,##0\);_(* "-"??_);_(@_)</c:formatCode>
                <c:ptCount val="4"/>
                <c:pt idx="0">
                  <c:v>818051844</c:v>
                </c:pt>
                <c:pt idx="1">
                  <c:v>1294100496.7133336</c:v>
                </c:pt>
                <c:pt idx="2">
                  <c:v>1529261516.9547088</c:v>
                </c:pt>
                <c:pt idx="3">
                  <c:v>1825528536.7177901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F-49AE-955D-0605AA0032EE}"/>
            </c:ext>
          </c:extLst>
        </c:ser>
        <c:ser>
          <c:idx val="1"/>
          <c:order val="3"/>
          <c:tx>
            <c:strRef>
              <c:f>Ratios!$B$91</c:f>
              <c:strCache>
                <c:ptCount val="1"/>
                <c:pt idx="0">
                  <c:v>Total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6F-49AE-955D-0605AA0032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Ratios!$F$91:$I$91</c:f>
              <c:numCache>
                <c:formatCode>_(* #,##0_);_(* \(#,##0\);_(* "-"??_);_(@_)</c:formatCode>
                <c:ptCount val="4"/>
                <c:pt idx="0">
                  <c:v>100385688</c:v>
                </c:pt>
                <c:pt idx="1">
                  <c:v>199400400</c:v>
                </c:pt>
                <c:pt idx="2">
                  <c:v>159520320</c:v>
                </c:pt>
                <c:pt idx="3">
                  <c:v>136460852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F-49AE-955D-0605AA00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4994192"/>
        <c:axId val="15549898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Ratios!$B$101</c15:sqref>
                        </c15:formulaRef>
                      </c:ext>
                    </c:extLst>
                    <c:strCache>
                      <c:ptCount val="1"/>
                      <c:pt idx="0">
                        <c:v>Total Assets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Ratios!$B$118:$B$123</c15:sqref>
                        </c15:formulaRef>
                      </c:ext>
                    </c:extLst>
                    <c:strCach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Q3 2016</c:v>
                      </c:pt>
                      <c:pt idx="5">
                        <c:v>Q3 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Ratios!$F$101:$I$101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2450972018</c:v>
                      </c:pt>
                      <c:pt idx="1">
                        <c:v>2596068341.9339724</c:v>
                      </c:pt>
                      <c:pt idx="2">
                        <c:v>2895009530.1566234</c:v>
                      </c:pt>
                      <c:pt idx="3">
                        <c:v>3338033442.9696317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16F-49AE-955D-0605AA0032E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Ratios!$B$50</c:f>
              <c:strCache>
                <c:ptCount val="1"/>
                <c:pt idx="0">
                  <c:v>Asset leverage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945264400156254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6F-49AE-955D-0605AA0032EE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6F-49AE-955D-0605AA0032EE}"/>
                </c:ext>
              </c:extLst>
            </c:dLbl>
            <c:dLbl>
              <c:idx val="2"/>
              <c:layout>
                <c:manualLayout>
                  <c:x val="-2.1534317280187402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6F-49AE-955D-0605AA0032EE}"/>
                </c:ext>
              </c:extLst>
            </c:dLbl>
            <c:dLbl>
              <c:idx val="3"/>
              <c:layout>
                <c:manualLayout>
                  <c:x val="-1.435621152012497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6F-49AE-955D-0605AA0032EE}"/>
                </c:ext>
              </c:extLst>
            </c:dLbl>
            <c:dLbl>
              <c:idx val="4"/>
              <c:layout>
                <c:manualLayout>
                  <c:x val="-4.66576874404061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6F-49AE-955D-0605AA0032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Ratios!$F$50:$I$50</c:f>
              <c:numCache>
                <c:formatCode>0.00_);\(0.00\)</c:formatCode>
                <c:ptCount val="4"/>
                <c:pt idx="0">
                  <c:v>2.9961084202384609</c:v>
                </c:pt>
                <c:pt idx="1">
                  <c:v>2.0060793953230727</c:v>
                </c:pt>
                <c:pt idx="2">
                  <c:v>1.8930768204522621</c:v>
                </c:pt>
                <c:pt idx="3">
                  <c:v>1.828529861807173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6F-49AE-955D-0605AA00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95280"/>
        <c:axId val="1554984400"/>
      </c:lineChart>
      <c:catAx>
        <c:axId val="15549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89840"/>
        <c:crosses val="autoZero"/>
        <c:auto val="1"/>
        <c:lblAlgn val="ctr"/>
        <c:lblOffset val="100"/>
        <c:noMultiLvlLbl val="0"/>
      </c:catAx>
      <c:valAx>
        <c:axId val="1554989840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4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554984400"/>
        <c:scaling>
          <c:orientation val="minMax"/>
        </c:scaling>
        <c:delete val="0"/>
        <c:axPos val="r"/>
        <c:numFmt formatCode="0.00_);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5280"/>
        <c:crosses val="max"/>
        <c:crossBetween val="between"/>
      </c:valAx>
      <c:catAx>
        <c:axId val="155499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98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67-41A9-A609-9F35159483ED}"/>
                </c:ext>
              </c:extLst>
            </c:dLbl>
            <c:dLbl>
              <c:idx val="4"/>
              <c:layout>
                <c:manualLayout>
                  <c:x val="-5.5555555555556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7-41A9-A609-9F3515948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Ratios!$F$73:$I$73</c:f>
              <c:numCache>
                <c:formatCode>_(* #,##0_);_(* \(#,##0\);_(* "-"??_);_(@_)</c:formatCode>
                <c:ptCount val="4"/>
                <c:pt idx="0">
                  <c:v>1844680880</c:v>
                </c:pt>
                <c:pt idx="1">
                  <c:v>2029148968.0000002</c:v>
                </c:pt>
                <c:pt idx="2">
                  <c:v>2232063864.8000007</c:v>
                </c:pt>
                <c:pt idx="3">
                  <c:v>2522232167.2240005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7-41A9-A609-9F35159483ED}"/>
            </c:ext>
          </c:extLst>
        </c:ser>
        <c:ser>
          <c:idx val="1"/>
          <c:order val="1"/>
          <c:tx>
            <c:strRef>
              <c:f>Ratios!$B$75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Ratios!$F$75:$I$75</c:f>
              <c:numCache>
                <c:formatCode>_(* #,##0_);_(* \(#,##0\);_(* "-"??_);_(@_)</c:formatCode>
                <c:ptCount val="4"/>
                <c:pt idx="0">
                  <c:v>411925498</c:v>
                </c:pt>
                <c:pt idx="1">
                  <c:v>510573583.85000014</c:v>
                </c:pt>
                <c:pt idx="2">
                  <c:v>557893385.98500037</c:v>
                </c:pt>
                <c:pt idx="3">
                  <c:v>596936116.58675027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7-41A9-A609-9F35159483ED}"/>
            </c:ext>
          </c:extLst>
        </c:ser>
        <c:ser>
          <c:idx val="2"/>
          <c:order val="2"/>
          <c:tx>
            <c:strRef>
              <c:f>Ratios!$B$82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89253426655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67-41A9-A609-9F3515948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Ratios!$F$82:$I$82</c:f>
              <c:numCache>
                <c:formatCode>_(* #,##0_);_(* \(#,##0\);_(* "-"??_);_(@_)</c:formatCode>
                <c:ptCount val="4"/>
                <c:pt idx="0">
                  <c:v>241342160</c:v>
                </c:pt>
                <c:pt idx="1">
                  <c:v>273413936.81333351</c:v>
                </c:pt>
                <c:pt idx="2">
                  <c:v>290024851.24137527</c:v>
                </c:pt>
                <c:pt idx="3">
                  <c:v>296267019.76308143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7-41A9-A609-9F351594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554990928"/>
        <c:axId val="1554993104"/>
      </c:barChart>
      <c:lineChart>
        <c:grouping val="stacked"/>
        <c:varyColors val="0"/>
        <c:ser>
          <c:idx val="3"/>
          <c:order val="3"/>
          <c:tx>
            <c:strRef>
              <c:f>Ratios!$B$9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555555555555555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67-41A9-A609-9F35159483ED}"/>
                </c:ext>
              </c:extLst>
            </c:dLbl>
            <c:dLbl>
              <c:idx val="1"/>
              <c:layout>
                <c:manualLayout>
                  <c:x val="-4.166666666666666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67-41A9-A609-9F35159483ED}"/>
                </c:ext>
              </c:extLst>
            </c:dLbl>
            <c:dLbl>
              <c:idx val="2"/>
              <c:layout>
                <c:manualLayout>
                  <c:x val="-6.1111111111111109E-2"/>
                  <c:y val="-6.4814814814814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67-41A9-A609-9F35159483ED}"/>
                </c:ext>
              </c:extLst>
            </c:dLbl>
            <c:dLbl>
              <c:idx val="3"/>
              <c:layout>
                <c:manualLayout>
                  <c:x val="-3.5517608914123963E-2"/>
                  <c:y val="-4.3921565010832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67-41A9-A609-9F35159483ED}"/>
                </c:ext>
              </c:extLst>
            </c:dLbl>
            <c:dLbl>
              <c:idx val="4"/>
              <c:layout>
                <c:manualLayout>
                  <c:x val="-3.333333333333333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67-41A9-A609-9F35159483ED}"/>
                </c:ext>
              </c:extLst>
            </c:dLbl>
            <c:dLbl>
              <c:idx val="5"/>
              <c:layout>
                <c:manualLayout>
                  <c:x val="-3.333333333333333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67-41A9-A609-9F3515948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Ratios!$F$9:$I$9</c:f>
              <c:numCache>
                <c:formatCode>0.0%</c:formatCode>
                <c:ptCount val="4"/>
                <c:pt idx="0">
                  <c:v>0.22330447638184442</c:v>
                </c:pt>
                <c:pt idx="1">
                  <c:v>0.25161956657782458</c:v>
                </c:pt>
                <c:pt idx="2">
                  <c:v>0.24994508212021488</c:v>
                </c:pt>
                <c:pt idx="3">
                  <c:v>0.23666977383915672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67-41A9-A609-9F351594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92016"/>
        <c:axId val="1554981680"/>
      </c:lineChart>
      <c:catAx>
        <c:axId val="15549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93104"/>
        <c:crosses val="autoZero"/>
        <c:auto val="1"/>
        <c:lblAlgn val="ctr"/>
        <c:lblOffset val="100"/>
        <c:noMultiLvlLbl val="1"/>
      </c:catAx>
      <c:valAx>
        <c:axId val="1554993104"/>
        <c:scaling>
          <c:orientation val="minMax"/>
          <c:max val="13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909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5498168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92016"/>
        <c:crosses val="max"/>
        <c:crossBetween val="between"/>
        <c:majorUnit val="9.0000000000000024E-2"/>
      </c:valAx>
      <c:catAx>
        <c:axId val="155499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498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1">
              <a:lumMod val="50000"/>
            </a:schemeClr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Net Profit &amp;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Ratios!$B$82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Ratios!$F$82:$I$82</c:f>
              <c:numCache>
                <c:formatCode>_(* #,##0_);_(* \(#,##0\);_(* "-"??_);_(@_)</c:formatCode>
                <c:ptCount val="4"/>
                <c:pt idx="0">
                  <c:v>241342160</c:v>
                </c:pt>
                <c:pt idx="1">
                  <c:v>273413936.81333351</c:v>
                </c:pt>
                <c:pt idx="2">
                  <c:v>290024851.24137527</c:v>
                </c:pt>
                <c:pt idx="3">
                  <c:v>296267019.76308143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4C7-82EB-8EFC2A54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991472"/>
        <c:axId val="1554992560"/>
      </c:barChart>
      <c:lineChart>
        <c:grouping val="stacked"/>
        <c:varyColors val="0"/>
        <c:ser>
          <c:idx val="1"/>
          <c:order val="1"/>
          <c:tx>
            <c:strRef>
              <c:f>Ratios!$B$16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2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52-44C7-82EB-8EFC2A54D3E4}"/>
                </c:ext>
              </c:extLst>
            </c:dLbl>
            <c:dLbl>
              <c:idx val="1"/>
              <c:layout>
                <c:manualLayout>
                  <c:x val="-0.05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2-44C7-82EB-8EFC2A54D3E4}"/>
                </c:ext>
              </c:extLst>
            </c:dLbl>
            <c:dLbl>
              <c:idx val="2"/>
              <c:layout>
                <c:manualLayout>
                  <c:x val="-3.61111111111111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52-44C7-82EB-8EFC2A54D3E4}"/>
                </c:ext>
              </c:extLst>
            </c:dLbl>
            <c:dLbl>
              <c:idx val="3"/>
              <c:layout>
                <c:manualLayout>
                  <c:x val="-1.0185067526415994E-16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52-44C7-82EB-8EFC2A54D3E4}"/>
                </c:ext>
              </c:extLst>
            </c:dLbl>
            <c:dLbl>
              <c:idx val="4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52-44C7-82EB-8EFC2A54D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Ratios!$F$16:$I$16</c:f>
              <c:numCache>
                <c:formatCode>0.0%</c:formatCode>
                <c:ptCount val="4"/>
                <c:pt idx="0">
                  <c:v>0.1308313880284811</c:v>
                </c:pt>
                <c:pt idx="1">
                  <c:v>0.13474315642918017</c:v>
                </c:pt>
                <c:pt idx="2">
                  <c:v>0.1299357315958172</c:v>
                </c:pt>
                <c:pt idx="3">
                  <c:v>0.11746223191228131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2-44C7-82EB-8EFC2A54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82224"/>
        <c:axId val="1554996912"/>
      </c:lineChart>
      <c:catAx>
        <c:axId val="155499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2560"/>
        <c:crosses val="autoZero"/>
        <c:auto val="1"/>
        <c:lblAlgn val="ctr"/>
        <c:lblOffset val="100"/>
        <c:noMultiLvlLbl val="0"/>
      </c:catAx>
      <c:valAx>
        <c:axId val="1554992560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9147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5549969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82224"/>
        <c:crosses val="max"/>
        <c:crossBetween val="between"/>
      </c:valAx>
      <c:catAx>
        <c:axId val="15549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99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2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EBITDA &amp; 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Ratios!$B$79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Ratios!$B$119:$B$123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Q3 2016</c:v>
                </c:pt>
                <c:pt idx="4">
                  <c:v>Q3 2017</c:v>
                </c:pt>
              </c:strCache>
            </c:strRef>
          </c:cat>
          <c:val>
            <c:numRef>
              <c:f>Ratios!$F$79:$I$79</c:f>
              <c:numCache>
                <c:formatCode>_(* #,##0_);_(* \(#,##0\);_(* "-"??_);_(@_)</c:formatCode>
                <c:ptCount val="4"/>
                <c:pt idx="0">
                  <c:v>276932285</c:v>
                </c:pt>
                <c:pt idx="1">
                  <c:v>352920894.20000017</c:v>
                </c:pt>
                <c:pt idx="2">
                  <c:v>383559892.15500039</c:v>
                </c:pt>
                <c:pt idx="3">
                  <c:v>402025024.30325025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1-488D-8911-B3447080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510800"/>
        <c:axId val="1551510256"/>
      </c:barChart>
      <c:lineChart>
        <c:grouping val="stacked"/>
        <c:varyColors val="0"/>
        <c:ser>
          <c:idx val="1"/>
          <c:order val="1"/>
          <c:tx>
            <c:strRef>
              <c:f>Ratios!$B$12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6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71-488D-8911-B3447080E14F}"/>
                </c:ext>
              </c:extLst>
            </c:dLbl>
            <c:dLbl>
              <c:idx val="1"/>
              <c:layout>
                <c:manualLayout>
                  <c:x val="-2.222222222222227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71-488D-8911-B3447080E14F}"/>
                </c:ext>
              </c:extLst>
            </c:dLbl>
            <c:dLbl>
              <c:idx val="2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71-488D-8911-B3447080E14F}"/>
                </c:ext>
              </c:extLst>
            </c:dLbl>
            <c:dLbl>
              <c:idx val="3"/>
              <c:layout>
                <c:manualLayout>
                  <c:x val="-8.3333333333333332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71-488D-8911-B3447080E14F}"/>
                </c:ext>
              </c:extLst>
            </c:dLbl>
            <c:dLbl>
              <c:idx val="4"/>
              <c:layout>
                <c:manualLayout>
                  <c:x val="-3.333333333333333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71-488D-8911-B3447080E14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Ratios!$F$12:$I$12</c:f>
              <c:numCache>
                <c:formatCode>0.0%</c:formatCode>
                <c:ptCount val="4"/>
                <c:pt idx="0">
                  <c:v>0.15012476575352154</c:v>
                </c:pt>
                <c:pt idx="1">
                  <c:v>0.17392557163895722</c:v>
                </c:pt>
                <c:pt idx="2">
                  <c:v>0.17184091288954603</c:v>
                </c:pt>
                <c:pt idx="3">
                  <c:v>0.15939255296459243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71-488D-8911-B3447080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88208"/>
        <c:axId val="1554987120"/>
      </c:lineChart>
      <c:valAx>
        <c:axId val="1554987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88208"/>
        <c:crosses val="max"/>
        <c:crossBetween val="between"/>
      </c:valAx>
      <c:catAx>
        <c:axId val="15549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987120"/>
        <c:crosses val="autoZero"/>
        <c:auto val="1"/>
        <c:lblAlgn val="ctr"/>
        <c:lblOffset val="100"/>
        <c:noMultiLvlLbl val="0"/>
      </c:catAx>
      <c:valAx>
        <c:axId val="1551510256"/>
        <c:scaling>
          <c:orientation val="minMax"/>
          <c:max val="20000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108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55151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51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2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Net Fixed Assets &amp; NPTO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Ratios!$B$107</c:f>
              <c:strCache>
                <c:ptCount val="1"/>
                <c:pt idx="0">
                  <c:v>Fixed Assets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Ratios!$F$107:$I$107</c:f>
              <c:numCache>
                <c:formatCode>_(* #,##0_);_(* \(#,##0\);_(* "-"??_);_(@_)</c:formatCode>
                <c:ptCount val="4"/>
                <c:pt idx="0">
                  <c:v>575070082</c:v>
                </c:pt>
                <c:pt idx="1">
                  <c:v>705814880.54999995</c:v>
                </c:pt>
                <c:pt idx="2">
                  <c:v>867953256.12249994</c:v>
                </c:pt>
                <c:pt idx="3">
                  <c:v>1068851440.8886251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B3C-AAF4-C3A58211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520048"/>
        <c:axId val="1551513520"/>
      </c:barChart>
      <c:lineChart>
        <c:grouping val="stacked"/>
        <c:varyColors val="0"/>
        <c:ser>
          <c:idx val="1"/>
          <c:order val="1"/>
          <c:tx>
            <c:strRef>
              <c:f>Ratios!$B$44</c:f>
              <c:strCache>
                <c:ptCount val="1"/>
                <c:pt idx="0">
                  <c:v>NPTO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6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4E-4B3C-AAF4-C3A58211F9CE}"/>
                </c:ext>
              </c:extLst>
            </c:dLbl>
            <c:dLbl>
              <c:idx val="1"/>
              <c:layout>
                <c:manualLayout>
                  <c:x val="-2.222222222222227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4E-4B3C-AAF4-C3A58211F9CE}"/>
                </c:ext>
              </c:extLst>
            </c:dLbl>
            <c:dLbl>
              <c:idx val="2"/>
              <c:layout>
                <c:manualLayout>
                  <c:x val="-2.0071689119564154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4E-4B3C-AAF4-C3A58211F9CE}"/>
                </c:ext>
              </c:extLst>
            </c:dLbl>
            <c:dLbl>
              <c:idx val="3"/>
              <c:layout>
                <c:manualLayout>
                  <c:x val="-8.3333333333333332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4E-4B3C-AAF4-C3A58211F9CE}"/>
                </c:ext>
              </c:extLst>
            </c:dLbl>
            <c:dLbl>
              <c:idx val="4"/>
              <c:layout>
                <c:manualLayout>
                  <c:x val="-3.333333333333333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4E-4B3C-AAF4-C3A58211F9C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Ratios!$B$118:$B$123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Q3 2016</c:v>
                </c:pt>
                <c:pt idx="5">
                  <c:v>Q3 2017</c:v>
                </c:pt>
              </c:strCache>
            </c:strRef>
          </c:cat>
          <c:val>
            <c:numRef>
              <c:f>Ratios!$F$44:$I$44</c:f>
              <c:numCache>
                <c:formatCode>0_);\(0\)</c:formatCode>
                <c:ptCount val="4"/>
                <c:pt idx="0">
                  <c:v>3.207749694758073</c:v>
                </c:pt>
                <c:pt idx="1">
                  <c:v>2.8749025047740622</c:v>
                </c:pt>
                <c:pt idx="2">
                  <c:v>2.571640637390471</c:v>
                </c:pt>
                <c:pt idx="3">
                  <c:v>2.3597593367391254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E-4B3C-AAF4-C3A58211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19504"/>
        <c:axId val="1551516240"/>
      </c:lineChart>
      <c:valAx>
        <c:axId val="1551516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19504"/>
        <c:crosses val="max"/>
        <c:crossBetween val="between"/>
      </c:valAx>
      <c:catAx>
        <c:axId val="15515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16240"/>
        <c:crosses val="autoZero"/>
        <c:auto val="1"/>
        <c:lblAlgn val="ctr"/>
        <c:lblOffset val="100"/>
        <c:noMultiLvlLbl val="0"/>
      </c:catAx>
      <c:valAx>
        <c:axId val="1551513520"/>
        <c:scaling>
          <c:orientation val="minMax"/>
          <c:max val="2400000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5200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55152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51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2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6"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7"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8"/>
  <sheetViews>
    <sheetView zoomScale="8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9"/>
  <sheetViews>
    <sheetView zoomScale="8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0"/>
  <sheetViews>
    <sheetView zoomScale="8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1"/>
  <sheetViews>
    <sheetView zoomScale="8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2"/>
  <sheetViews>
    <sheetView zoomScale="8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3"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99060</xdr:rowOff>
    </xdr:from>
    <xdr:to>
      <xdr:col>15</xdr:col>
      <xdr:colOff>358140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A5A1-0B89-4C1D-9F56-5AE4F400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10</xdr:row>
      <xdr:rowOff>38100</xdr:rowOff>
    </xdr:from>
    <xdr:to>
      <xdr:col>15</xdr:col>
      <xdr:colOff>236220</xdr:colOff>
      <xdr:row>10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3EBDD2-7767-440E-ADDA-BC77C1C3A8D7}"/>
            </a:ext>
          </a:extLst>
        </xdr:cNvPr>
        <xdr:cNvCxnSpPr/>
      </xdr:nvCxnSpPr>
      <xdr:spPr>
        <a:xfrm>
          <a:off x="7848600" y="1714500"/>
          <a:ext cx="406146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19</xdr:row>
      <xdr:rowOff>129540</xdr:rowOff>
    </xdr:from>
    <xdr:to>
      <xdr:col>12</xdr:col>
      <xdr:colOff>594360</xdr:colOff>
      <xdr:row>19</xdr:row>
      <xdr:rowOff>129540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55BBFE5-2AB5-4683-8AEB-EDA7AA312D11}"/>
            </a:ext>
          </a:extLst>
        </xdr:cNvPr>
        <xdr:cNvCxnSpPr/>
      </xdr:nvCxnSpPr>
      <xdr:spPr>
        <a:xfrm>
          <a:off x="10218420" y="3314700"/>
          <a:ext cx="22098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15240</xdr:rowOff>
    </xdr:from>
    <xdr:to>
      <xdr:col>14</xdr:col>
      <xdr:colOff>60960</xdr:colOff>
      <xdr:row>20</xdr:row>
      <xdr:rowOff>45720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FBDFDE2-6C3D-48A6-B93F-A53B9AF21ACB}"/>
            </a:ext>
          </a:extLst>
        </xdr:cNvPr>
        <xdr:cNvSpPr txBox="1"/>
      </xdr:nvSpPr>
      <xdr:spPr>
        <a:xfrm>
          <a:off x="10454640" y="3200400"/>
          <a:ext cx="67056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Budget Line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16</xdr:row>
      <xdr:rowOff>52387</xdr:rowOff>
    </xdr:from>
    <xdr:to>
      <xdr:col>13</xdr:col>
      <xdr:colOff>142875</xdr:colOff>
      <xdr:row>30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523876</xdr:colOff>
      <xdr:row>1</xdr:row>
      <xdr:rowOff>57150</xdr:rowOff>
    </xdr:from>
    <xdr:to>
      <xdr:col>4</xdr:col>
      <xdr:colOff>171450</xdr:colOff>
      <xdr:row>8</xdr:row>
      <xdr:rowOff>161925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1219201" y="247650"/>
          <a:ext cx="2209799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No. are In Reverse Order (Older First)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152400</xdr:rowOff>
    </xdr:from>
    <xdr:to>
      <xdr:col>13</xdr:col>
      <xdr:colOff>438149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</xdr:row>
      <xdr:rowOff>23811</xdr:rowOff>
    </xdr:from>
    <xdr:to>
      <xdr:col>25</xdr:col>
      <xdr:colOff>571500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11</xdr:row>
      <xdr:rowOff>95250</xdr:rowOff>
    </xdr:from>
    <xdr:to>
      <xdr:col>12</xdr:col>
      <xdr:colOff>400050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20</xdr:row>
      <xdr:rowOff>28575</xdr:rowOff>
    </xdr:from>
    <xdr:to>
      <xdr:col>10</xdr:col>
      <xdr:colOff>38100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19050</xdr:rowOff>
    </xdr:from>
    <xdr:to>
      <xdr:col>12</xdr:col>
      <xdr:colOff>44224</xdr:colOff>
      <xdr:row>53</xdr:row>
      <xdr:rowOff>161508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400050</xdr:colOff>
      <xdr:row>39</xdr:row>
      <xdr:rowOff>104775</xdr:rowOff>
    </xdr:from>
    <xdr:to>
      <xdr:col>17</xdr:col>
      <xdr:colOff>444274</xdr:colOff>
      <xdr:row>53</xdr:row>
      <xdr:rowOff>85308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20</xdr:row>
      <xdr:rowOff>133350</xdr:rowOff>
    </xdr:from>
    <xdr:to>
      <xdr:col>15</xdr:col>
      <xdr:colOff>425224</xdr:colOff>
      <xdr:row>35</xdr:row>
      <xdr:rowOff>113883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581025</xdr:colOff>
      <xdr:row>54</xdr:row>
      <xdr:rowOff>85725</xdr:rowOff>
    </xdr:from>
    <xdr:to>
      <xdr:col>8</xdr:col>
      <xdr:colOff>339499</xdr:colOff>
      <xdr:row>59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381000</xdr:colOff>
      <xdr:row>54</xdr:row>
      <xdr:rowOff>114300</xdr:rowOff>
    </xdr:from>
    <xdr:to>
      <xdr:col>2</xdr:col>
      <xdr:colOff>415699</xdr:colOff>
      <xdr:row>59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</xdr:row>
      <xdr:rowOff>23811</xdr:rowOff>
    </xdr:from>
    <xdr:to>
      <xdr:col>25</xdr:col>
      <xdr:colOff>571500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11</xdr:row>
      <xdr:rowOff>95250</xdr:rowOff>
    </xdr:from>
    <xdr:to>
      <xdr:col>12</xdr:col>
      <xdr:colOff>400050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20</xdr:row>
      <xdr:rowOff>28575</xdr:rowOff>
    </xdr:from>
    <xdr:to>
      <xdr:col>10</xdr:col>
      <xdr:colOff>38100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19050</xdr:rowOff>
    </xdr:from>
    <xdr:to>
      <xdr:col>12</xdr:col>
      <xdr:colOff>44224</xdr:colOff>
      <xdr:row>52</xdr:row>
      <xdr:rowOff>161508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400050</xdr:colOff>
      <xdr:row>38</xdr:row>
      <xdr:rowOff>104775</xdr:rowOff>
    </xdr:from>
    <xdr:to>
      <xdr:col>17</xdr:col>
      <xdr:colOff>444274</xdr:colOff>
      <xdr:row>52</xdr:row>
      <xdr:rowOff>85308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20</xdr:row>
      <xdr:rowOff>133350</xdr:rowOff>
    </xdr:from>
    <xdr:to>
      <xdr:col>15</xdr:col>
      <xdr:colOff>425224</xdr:colOff>
      <xdr:row>34</xdr:row>
      <xdr:rowOff>113883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581025</xdr:colOff>
      <xdr:row>53</xdr:row>
      <xdr:rowOff>85725</xdr:rowOff>
    </xdr:from>
    <xdr:to>
      <xdr:col>8</xdr:col>
      <xdr:colOff>339499</xdr:colOff>
      <xdr:row>58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381000</xdr:colOff>
      <xdr:row>53</xdr:row>
      <xdr:rowOff>114300</xdr:rowOff>
    </xdr:from>
    <xdr:to>
      <xdr:col>2</xdr:col>
      <xdr:colOff>415699</xdr:colOff>
      <xdr:row>58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earch\Copy%20of%20Copy%20of%20In%20House%20Sprea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formation"/>
      <sheetName val="Spreads"/>
      <sheetName val="Inc Stat Proj"/>
      <sheetName val="Fixed Assets Proj"/>
      <sheetName val="LTD Runoff"/>
      <sheetName val="New Finance"/>
      <sheetName val="Add.Tools"/>
      <sheetName val="Valuation-DCF"/>
      <sheetName val="Valuation-Multiples"/>
      <sheetName val="Valuation-Sensitivity"/>
      <sheetName val="Bond Rating"/>
      <sheetName val="Senstivity"/>
      <sheetName val="Sheet1"/>
      <sheetName val="Tables"/>
      <sheetName val="Lease"/>
      <sheetName val="Financial Figures"/>
    </sheetNames>
    <sheetDataSet>
      <sheetData sheetId="0"/>
      <sheetData sheetId="1">
        <row r="15">
          <cell r="C15" t="str">
            <v>(LE 000's)</v>
          </cell>
        </row>
      </sheetData>
      <sheetData sheetId="2">
        <row r="116">
          <cell r="G11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C4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trepreneur.com/article/290617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opLeftCell="A36" workbookViewId="0">
      <selection activeCell="F36" sqref="F36"/>
    </sheetView>
  </sheetViews>
  <sheetFormatPr defaultRowHeight="13.2" x14ac:dyDescent="0.25"/>
  <cols>
    <col min="1" max="1" width="33.21875" bestFit="1" customWidth="1"/>
    <col min="2" max="2" width="17.44140625" bestFit="1" customWidth="1"/>
    <col min="3" max="3" width="17.77734375" bestFit="1" customWidth="1"/>
    <col min="4" max="7" width="17.44140625" bestFit="1" customWidth="1"/>
  </cols>
  <sheetData>
    <row r="1" spans="1:10" x14ac:dyDescent="0.25">
      <c r="A1" t="s">
        <v>2981</v>
      </c>
      <c r="B1" s="296" t="s">
        <v>2984</v>
      </c>
      <c r="D1" s="750" t="s">
        <v>3926</v>
      </c>
      <c r="E1" s="750"/>
      <c r="F1" s="750"/>
      <c r="G1" s="750"/>
      <c r="H1" s="750"/>
      <c r="I1" s="750"/>
    </row>
    <row r="2" spans="1:10" x14ac:dyDescent="0.25">
      <c r="A2" t="s">
        <v>2980</v>
      </c>
      <c r="B2" s="296" t="s">
        <v>342</v>
      </c>
      <c r="D2" s="750" t="s">
        <v>3928</v>
      </c>
      <c r="E2" s="750"/>
      <c r="F2" s="750"/>
      <c r="G2" s="750"/>
      <c r="H2" s="750"/>
      <c r="I2" s="750"/>
      <c r="J2" s="53" t="s">
        <v>3898</v>
      </c>
    </row>
    <row r="3" spans="1:10" x14ac:dyDescent="0.25">
      <c r="A3" t="s">
        <v>3</v>
      </c>
      <c r="B3" s="296" t="s">
        <v>370</v>
      </c>
      <c r="J3" t="s">
        <v>3289</v>
      </c>
    </row>
    <row r="4" spans="1:10" x14ac:dyDescent="0.25">
      <c r="A4" t="s">
        <v>2983</v>
      </c>
      <c r="B4" s="637">
        <v>2014</v>
      </c>
      <c r="C4" t="s">
        <v>2982</v>
      </c>
      <c r="J4" t="s">
        <v>3293</v>
      </c>
    </row>
    <row r="5" spans="1:10" x14ac:dyDescent="0.25">
      <c r="A5" t="s">
        <v>262</v>
      </c>
      <c r="B5" s="637" t="s">
        <v>412</v>
      </c>
      <c r="J5" t="s">
        <v>3297</v>
      </c>
    </row>
    <row r="6" spans="1:10" x14ac:dyDescent="0.25">
      <c r="J6" t="s">
        <v>3301</v>
      </c>
    </row>
    <row r="7" spans="1:10" x14ac:dyDescent="0.25">
      <c r="A7" s="53" t="s">
        <v>3079</v>
      </c>
      <c r="B7" s="773" t="s">
        <v>111</v>
      </c>
      <c r="C7" s="773" t="s">
        <v>111</v>
      </c>
      <c r="D7" s="773" t="s">
        <v>111</v>
      </c>
      <c r="E7" s="773" t="s">
        <v>111</v>
      </c>
      <c r="F7" s="773" t="s">
        <v>111</v>
      </c>
      <c r="G7" s="773" t="s">
        <v>111</v>
      </c>
      <c r="J7" t="s">
        <v>3305</v>
      </c>
    </row>
    <row r="8" spans="1:10" x14ac:dyDescent="0.25">
      <c r="B8" s="444">
        <f>B4</f>
        <v>2014</v>
      </c>
      <c r="C8" s="444">
        <f>B8+1</f>
        <v>2015</v>
      </c>
      <c r="D8" s="444">
        <f t="shared" ref="D8:G8" si="0">C8+1</f>
        <v>2016</v>
      </c>
      <c r="E8" s="444">
        <f t="shared" si="0"/>
        <v>2017</v>
      </c>
      <c r="F8" s="444">
        <f t="shared" si="0"/>
        <v>2018</v>
      </c>
      <c r="G8" s="444">
        <f t="shared" si="0"/>
        <v>2019</v>
      </c>
      <c r="J8" t="s">
        <v>3309</v>
      </c>
    </row>
    <row r="9" spans="1:10" x14ac:dyDescent="0.25">
      <c r="A9" t="s">
        <v>9</v>
      </c>
      <c r="B9" s="639">
        <v>1691390456</v>
      </c>
      <c r="C9" s="639">
        <v>1856393498</v>
      </c>
      <c r="D9" s="639">
        <v>1844680880</v>
      </c>
      <c r="E9" s="639">
        <v>2029148968.0000002</v>
      </c>
      <c r="F9" s="639">
        <v>2232063864.8000007</v>
      </c>
      <c r="G9" s="639">
        <v>2522232167.2240005</v>
      </c>
      <c r="J9" t="s">
        <v>3313</v>
      </c>
    </row>
    <row r="10" spans="1:10" x14ac:dyDescent="0.25">
      <c r="A10" t="s">
        <v>10</v>
      </c>
      <c r="B10" s="639">
        <v>-1372201335</v>
      </c>
      <c r="C10" s="639">
        <v>-1412964265</v>
      </c>
      <c r="D10" s="639">
        <v>-1375070723</v>
      </c>
      <c r="E10" s="639">
        <v>-1443824259.1500001</v>
      </c>
      <c r="F10" s="639">
        <v>-1588206685.0650003</v>
      </c>
      <c r="G10" s="639">
        <v>-1826437687.8247502</v>
      </c>
      <c r="J10" t="s">
        <v>3320</v>
      </c>
    </row>
    <row r="11" spans="1:10" x14ac:dyDescent="0.25">
      <c r="A11" t="s">
        <v>3080</v>
      </c>
      <c r="B11" s="639">
        <v>-28096290</v>
      </c>
      <c r="C11" s="639">
        <v>-38170983</v>
      </c>
      <c r="D11" s="639">
        <v>-57684659</v>
      </c>
      <c r="E11" s="639">
        <v>-74751125</v>
      </c>
      <c r="F11" s="639">
        <v>-85963793.75</v>
      </c>
      <c r="G11" s="639">
        <v>-98858362.812499985</v>
      </c>
      <c r="J11" t="s">
        <v>3324</v>
      </c>
    </row>
    <row r="12" spans="1:10" x14ac:dyDescent="0.25">
      <c r="A12" t="s">
        <v>3095</v>
      </c>
      <c r="B12" s="639">
        <v>-483511</v>
      </c>
      <c r="C12" s="639">
        <v>-1164053</v>
      </c>
      <c r="D12" s="639">
        <v>-3814478</v>
      </c>
      <c r="E12" s="639">
        <v>-4671663</v>
      </c>
      <c r="F12" s="639">
        <v>-5138829.3000000007</v>
      </c>
      <c r="G12" s="639">
        <v>-5652712.2300000014</v>
      </c>
      <c r="J12" t="s">
        <v>3328</v>
      </c>
    </row>
    <row r="13" spans="1:10" x14ac:dyDescent="0.25">
      <c r="A13" t="s">
        <v>13</v>
      </c>
      <c r="B13" s="639">
        <v>-61541642</v>
      </c>
      <c r="C13" s="639">
        <v>-78898262</v>
      </c>
      <c r="D13" s="639">
        <v>-103309159</v>
      </c>
      <c r="E13" s="639">
        <v>-139467364.65000001</v>
      </c>
      <c r="F13" s="639">
        <v>-167360837.58000001</v>
      </c>
      <c r="G13" s="639">
        <v>-200833005.09600002</v>
      </c>
      <c r="J13" t="s">
        <v>3332</v>
      </c>
    </row>
    <row r="14" spans="1:10" x14ac:dyDescent="0.25">
      <c r="A14" t="s">
        <v>14</v>
      </c>
      <c r="B14" s="639">
        <v>-453000</v>
      </c>
      <c r="C14" s="639">
        <v>-20166660</v>
      </c>
      <c r="D14" s="639">
        <v>-2936450</v>
      </c>
      <c r="E14" s="639">
        <v>-2936450</v>
      </c>
      <c r="F14" s="639">
        <v>-2936450</v>
      </c>
      <c r="G14" s="639">
        <v>-2936450</v>
      </c>
      <c r="J14" t="s">
        <v>3335</v>
      </c>
    </row>
    <row r="15" spans="1:10" x14ac:dyDescent="0.25">
      <c r="A15" t="s">
        <v>3094</v>
      </c>
      <c r="B15" s="639">
        <v>-20743440</v>
      </c>
      <c r="C15" s="639">
        <v>-10805204</v>
      </c>
      <c r="D15" s="639">
        <v>-86432263</v>
      </c>
      <c r="E15" s="639">
        <v>-90000000</v>
      </c>
      <c r="F15" s="639">
        <v>-90000000</v>
      </c>
      <c r="G15" s="639">
        <v>-90000000</v>
      </c>
      <c r="J15" t="s">
        <v>3339</v>
      </c>
    </row>
    <row r="16" spans="1:10" x14ac:dyDescent="0.25">
      <c r="A16" t="s">
        <v>1773</v>
      </c>
      <c r="B16" s="639"/>
      <c r="C16" s="639"/>
      <c r="D16" s="639"/>
      <c r="E16" s="639"/>
      <c r="F16" s="639"/>
      <c r="G16" s="639"/>
      <c r="J16" t="s">
        <v>3343</v>
      </c>
    </row>
    <row r="17" spans="1:10" x14ac:dyDescent="0.25">
      <c r="A17" t="s">
        <v>15</v>
      </c>
      <c r="B17" s="639"/>
      <c r="C17" s="639"/>
      <c r="D17" s="639"/>
      <c r="E17" s="639">
        <v>0</v>
      </c>
      <c r="F17" s="639">
        <v>0</v>
      </c>
      <c r="G17" s="639">
        <v>-2186679.56</v>
      </c>
      <c r="J17" t="s">
        <v>3347</v>
      </c>
    </row>
    <row r="18" spans="1:10" x14ac:dyDescent="0.25">
      <c r="A18" t="s">
        <v>1774</v>
      </c>
      <c r="B18" s="639">
        <v>-401675</v>
      </c>
      <c r="C18" s="639">
        <v>-266420</v>
      </c>
      <c r="D18" s="639">
        <v>-28188362</v>
      </c>
      <c r="E18" s="639">
        <v>-25922052</v>
      </c>
      <c r="F18" s="639">
        <v>-20737641.600000001</v>
      </c>
      <c r="G18" s="639">
        <v>-15553231.200000001</v>
      </c>
      <c r="J18" t="s">
        <v>3351</v>
      </c>
    </row>
    <row r="19" spans="1:10" x14ac:dyDescent="0.25">
      <c r="A19" t="s">
        <v>17</v>
      </c>
      <c r="B19" s="639"/>
      <c r="C19" s="639"/>
      <c r="D19" s="639"/>
      <c r="E19" s="639">
        <v>0</v>
      </c>
      <c r="F19" s="639">
        <v>0</v>
      </c>
      <c r="G19" s="639">
        <v>0</v>
      </c>
      <c r="J19" t="s">
        <v>3354</v>
      </c>
    </row>
    <row r="20" spans="1:10" x14ac:dyDescent="0.25">
      <c r="A20" t="s">
        <v>18</v>
      </c>
      <c r="B20" s="639">
        <v>14324165</v>
      </c>
      <c r="C20" s="639">
        <v>54733782</v>
      </c>
      <c r="D20" s="639">
        <v>75483386</v>
      </c>
      <c r="E20" s="639">
        <v>48180444.333333336</v>
      </c>
      <c r="F20" s="639">
        <v>48180445</v>
      </c>
      <c r="G20" s="639">
        <v>48180445</v>
      </c>
      <c r="J20" t="s">
        <v>3358</v>
      </c>
    </row>
    <row r="21" spans="1:10" x14ac:dyDescent="0.25">
      <c r="A21" t="s">
        <v>19</v>
      </c>
      <c r="B21" s="639">
        <v>44014099</v>
      </c>
      <c r="C21" s="639">
        <v>45408021</v>
      </c>
      <c r="D21" s="639">
        <v>54202720</v>
      </c>
      <c r="E21" s="639">
        <v>56912856</v>
      </c>
      <c r="F21" s="639">
        <v>54202720</v>
      </c>
      <c r="G21" s="639">
        <v>54202720</v>
      </c>
      <c r="J21" t="s">
        <v>3362</v>
      </c>
    </row>
    <row r="22" spans="1:10" x14ac:dyDescent="0.25">
      <c r="A22" t="s">
        <v>20</v>
      </c>
      <c r="B22" s="639">
        <v>0</v>
      </c>
      <c r="C22" s="639">
        <v>0</v>
      </c>
      <c r="D22" s="639">
        <v>0</v>
      </c>
      <c r="E22" s="639">
        <v>0</v>
      </c>
      <c r="F22" s="639">
        <v>0</v>
      </c>
      <c r="G22" s="639">
        <v>0</v>
      </c>
      <c r="J22" t="s">
        <v>3366</v>
      </c>
    </row>
    <row r="23" spans="1:10" x14ac:dyDescent="0.25">
      <c r="A23" t="s">
        <v>21</v>
      </c>
      <c r="B23" s="639">
        <v>0</v>
      </c>
      <c r="C23" s="639">
        <v>456454</v>
      </c>
      <c r="D23" s="639">
        <v>122822</v>
      </c>
      <c r="E23" s="639">
        <v>122822</v>
      </c>
      <c r="F23" s="639">
        <v>122822</v>
      </c>
      <c r="G23" s="639">
        <v>122822</v>
      </c>
      <c r="J23" t="s">
        <v>3369</v>
      </c>
    </row>
    <row r="24" spans="1:10" x14ac:dyDescent="0.25">
      <c r="A24" t="s">
        <v>22</v>
      </c>
      <c r="B24" s="639"/>
      <c r="C24" s="639"/>
      <c r="D24" s="639"/>
      <c r="E24" s="639">
        <v>0</v>
      </c>
      <c r="F24" s="639">
        <v>0</v>
      </c>
      <c r="G24" s="639">
        <v>0</v>
      </c>
      <c r="J24" t="s">
        <v>3372</v>
      </c>
    </row>
    <row r="25" spans="1:10" x14ac:dyDescent="0.25">
      <c r="A25" t="s">
        <v>24</v>
      </c>
      <c r="B25" s="639">
        <v>-65892715</v>
      </c>
      <c r="C25" s="639">
        <v>-128319053</v>
      </c>
      <c r="D25" s="639">
        <v>-75711554</v>
      </c>
      <c r="E25" s="639">
        <v>-79378239.720000044</v>
      </c>
      <c r="F25" s="639">
        <v>-84200763.263625085</v>
      </c>
      <c r="G25" s="639">
        <v>-86013005.737668827</v>
      </c>
      <c r="J25" t="s">
        <v>3376</v>
      </c>
    </row>
    <row r="26" spans="1:10" x14ac:dyDescent="0.25">
      <c r="A26" t="s">
        <v>28</v>
      </c>
      <c r="B26" s="639"/>
      <c r="C26" s="639"/>
      <c r="D26" s="639"/>
      <c r="E26" s="639"/>
      <c r="F26" s="639"/>
      <c r="G26" s="639"/>
      <c r="J26" t="s">
        <v>3380</v>
      </c>
    </row>
    <row r="27" spans="1:10" x14ac:dyDescent="0.25">
      <c r="A27" t="s">
        <v>29</v>
      </c>
      <c r="B27" s="639"/>
      <c r="C27" s="639"/>
      <c r="D27" s="639"/>
      <c r="E27" s="639"/>
      <c r="F27" s="639"/>
      <c r="G27" s="639"/>
      <c r="J27" t="s">
        <v>3383</v>
      </c>
    </row>
    <row r="28" spans="1:10" x14ac:dyDescent="0.25">
      <c r="A28" t="s">
        <v>30</v>
      </c>
      <c r="B28" s="639"/>
      <c r="C28" s="639"/>
      <c r="D28" s="639"/>
      <c r="E28" s="639"/>
      <c r="F28" s="639"/>
      <c r="G28" s="639"/>
      <c r="J28" t="s">
        <v>3386</v>
      </c>
    </row>
    <row r="29" spans="1:10" x14ac:dyDescent="0.25">
      <c r="A29" t="s">
        <v>30</v>
      </c>
      <c r="B29" s="639"/>
      <c r="C29" s="639"/>
      <c r="D29" s="639"/>
      <c r="E29" s="639"/>
      <c r="F29" s="639"/>
      <c r="G29" s="639"/>
      <c r="J29" t="s">
        <v>3389</v>
      </c>
    </row>
    <row r="30" spans="1:10" x14ac:dyDescent="0.25">
      <c r="A30" s="321" t="s">
        <v>3081</v>
      </c>
      <c r="B30" s="643">
        <f>SUM(B9:B29)</f>
        <v>199915112</v>
      </c>
      <c r="C30" s="643">
        <f t="shared" ref="C30:G30" si="1">SUM(C9:C29)</f>
        <v>266236855</v>
      </c>
      <c r="D30" s="643">
        <f t="shared" si="1"/>
        <v>241342160</v>
      </c>
      <c r="E30" s="643">
        <f t="shared" si="1"/>
        <v>273413936.81333345</v>
      </c>
      <c r="F30" s="643">
        <f t="shared" si="1"/>
        <v>290024851.24137527</v>
      </c>
      <c r="G30" s="643">
        <f t="shared" si="1"/>
        <v>296267019.76308143</v>
      </c>
      <c r="J30" t="s">
        <v>3393</v>
      </c>
    </row>
    <row r="31" spans="1:10" x14ac:dyDescent="0.25">
      <c r="A31" t="s">
        <v>32</v>
      </c>
      <c r="B31" s="639"/>
      <c r="C31" s="639"/>
      <c r="D31" s="639"/>
      <c r="E31" s="639"/>
      <c r="F31" s="639"/>
      <c r="G31" s="639"/>
      <c r="J31" t="s">
        <v>3396</v>
      </c>
    </row>
    <row r="32" spans="1:10" x14ac:dyDescent="0.25">
      <c r="A32" t="s">
        <v>33</v>
      </c>
      <c r="B32" s="639">
        <v>-175993300</v>
      </c>
      <c r="C32" s="639">
        <v>-179923601</v>
      </c>
      <c r="D32" s="639">
        <v>-239613169</v>
      </c>
      <c r="E32" s="639">
        <v>0</v>
      </c>
      <c r="F32" s="639">
        <v>-54863831</v>
      </c>
      <c r="G32" s="639">
        <v>0</v>
      </c>
      <c r="J32" t="s">
        <v>3399</v>
      </c>
    </row>
    <row r="33" spans="1:10" x14ac:dyDescent="0.25">
      <c r="A33" t="s">
        <v>3082</v>
      </c>
      <c r="B33" s="639">
        <v>-19554811.100000001</v>
      </c>
      <c r="C33" s="771">
        <f>-(C94+C95+C96+C97-B94-B95-B96-B97)</f>
        <v>-19991511.199999988</v>
      </c>
      <c r="D33" s="771">
        <f t="shared" ref="D33:G33" si="2">-(D94+D95+D96+D97-C94-C95-C96-C97)</f>
        <v>-26623685.5</v>
      </c>
      <c r="E33" s="771">
        <f t="shared" si="2"/>
        <v>-24134216.00000003</v>
      </c>
      <c r="F33" s="771">
        <f t="shared" si="2"/>
        <v>-27341393.681332976</v>
      </c>
      <c r="G33" s="771">
        <f t="shared" si="2"/>
        <v>-29002485.124137998</v>
      </c>
      <c r="J33" t="s">
        <v>3402</v>
      </c>
    </row>
    <row r="34" spans="1:10" x14ac:dyDescent="0.25">
      <c r="J34" t="s">
        <v>3406</v>
      </c>
    </row>
    <row r="35" spans="1:10" x14ac:dyDescent="0.25">
      <c r="A35" s="53" t="s">
        <v>3093</v>
      </c>
      <c r="J35" t="s">
        <v>3409</v>
      </c>
    </row>
    <row r="36" spans="1:10" x14ac:dyDescent="0.25">
      <c r="J36" t="s">
        <v>3412</v>
      </c>
    </row>
    <row r="37" spans="1:10" x14ac:dyDescent="0.25">
      <c r="A37" t="s">
        <v>38</v>
      </c>
      <c r="B37" s="639">
        <v>196166489</v>
      </c>
      <c r="C37" s="639">
        <v>185155383</v>
      </c>
      <c r="D37" s="639">
        <v>624522836</v>
      </c>
      <c r="E37" s="639">
        <v>624522836</v>
      </c>
      <c r="F37" s="639">
        <v>693220347.96000004</v>
      </c>
      <c r="G37" s="639">
        <v>831864417.55200005</v>
      </c>
      <c r="J37" t="s">
        <v>3416</v>
      </c>
    </row>
    <row r="38" spans="1:10" x14ac:dyDescent="0.25">
      <c r="A38" t="s">
        <v>39</v>
      </c>
      <c r="B38" s="639">
        <v>352820137</v>
      </c>
      <c r="C38" s="639">
        <v>960775399</v>
      </c>
      <c r="D38" s="639">
        <v>762691214</v>
      </c>
      <c r="E38" s="639">
        <v>762691214</v>
      </c>
      <c r="F38" s="639">
        <v>762691214</v>
      </c>
      <c r="G38" s="639">
        <v>762691214</v>
      </c>
      <c r="J38" t="s">
        <v>3419</v>
      </c>
    </row>
    <row r="39" spans="1:10" x14ac:dyDescent="0.25">
      <c r="A39" t="s">
        <v>40</v>
      </c>
      <c r="B39" s="639"/>
      <c r="C39" s="639"/>
      <c r="D39" s="639"/>
      <c r="E39" s="639"/>
      <c r="F39" s="639"/>
      <c r="G39" s="639"/>
      <c r="J39" t="s">
        <v>3423</v>
      </c>
    </row>
    <row r="40" spans="1:10" x14ac:dyDescent="0.25">
      <c r="A40" t="s">
        <v>41</v>
      </c>
      <c r="B40" s="639">
        <v>30825391</v>
      </c>
      <c r="C40" s="639">
        <v>56294534</v>
      </c>
      <c r="D40" s="639">
        <v>76429381</v>
      </c>
      <c r="E40" s="639">
        <v>111186244.82191782</v>
      </c>
      <c r="F40" s="639">
        <v>122304869.30410962</v>
      </c>
      <c r="G40" s="639">
        <v>152024952.54500824</v>
      </c>
      <c r="J40" t="s">
        <v>3426</v>
      </c>
    </row>
    <row r="41" spans="1:10" x14ac:dyDescent="0.25">
      <c r="A41" s="645" t="s">
        <v>42</v>
      </c>
      <c r="B41" s="639"/>
      <c r="C41" s="639"/>
      <c r="D41" s="639"/>
      <c r="E41" s="639">
        <v>-11118624.482191782</v>
      </c>
      <c r="F41" s="639">
        <v>-12230486.930410963</v>
      </c>
      <c r="G41" s="639">
        <v>-15202495.254500825</v>
      </c>
      <c r="J41" t="s">
        <v>342</v>
      </c>
    </row>
    <row r="42" spans="1:10" x14ac:dyDescent="0.25">
      <c r="A42" t="s">
        <v>44</v>
      </c>
      <c r="B42" s="639">
        <v>84379962</v>
      </c>
      <c r="C42" s="639">
        <v>85653465</v>
      </c>
      <c r="D42" s="639">
        <v>77813352</v>
      </c>
      <c r="E42" s="639">
        <v>87025023.839178085</v>
      </c>
      <c r="F42" s="639">
        <v>108781279.79897262</v>
      </c>
      <c r="G42" s="639">
        <v>135106349.510324</v>
      </c>
      <c r="H42" s="777" t="s">
        <v>3083</v>
      </c>
      <c r="J42" t="s">
        <v>3433</v>
      </c>
    </row>
    <row r="43" spans="1:10" x14ac:dyDescent="0.25">
      <c r="A43" t="s">
        <v>45</v>
      </c>
      <c r="B43" s="639">
        <v>42477038</v>
      </c>
      <c r="C43" s="639">
        <v>33077331</v>
      </c>
      <c r="D43" s="639">
        <v>27780273</v>
      </c>
      <c r="E43" s="639">
        <v>35601146.1160274</v>
      </c>
      <c r="F43" s="639">
        <v>39161260.727630146</v>
      </c>
      <c r="G43" s="639">
        <v>45035449.836774662</v>
      </c>
      <c r="H43" s="777"/>
      <c r="J43" t="s">
        <v>3437</v>
      </c>
    </row>
    <row r="44" spans="1:10" x14ac:dyDescent="0.25">
      <c r="A44" t="s">
        <v>46</v>
      </c>
      <c r="B44" s="639">
        <v>38348601</v>
      </c>
      <c r="C44" s="639">
        <v>43536038</v>
      </c>
      <c r="D44" s="639">
        <v>40490653</v>
      </c>
      <c r="E44" s="639">
        <v>43512511.919589043</v>
      </c>
      <c r="F44" s="639">
        <v>47863763.111547954</v>
      </c>
      <c r="G44" s="639">
        <v>55043327.578280143</v>
      </c>
      <c r="H44" s="777"/>
      <c r="J44" t="s">
        <v>3440</v>
      </c>
    </row>
    <row r="45" spans="1:10" x14ac:dyDescent="0.25">
      <c r="A45" t="s">
        <v>371</v>
      </c>
      <c r="B45" s="639">
        <v>64978398</v>
      </c>
      <c r="C45" s="639">
        <v>119195629</v>
      </c>
      <c r="D45" s="639">
        <v>139941988</v>
      </c>
      <c r="E45" s="639">
        <v>142404584.4641096</v>
      </c>
      <c r="F45" s="639">
        <v>165347545.29443839</v>
      </c>
      <c r="G45" s="639">
        <v>190149677.08860412</v>
      </c>
      <c r="H45" s="777"/>
      <c r="J45" t="s">
        <v>3469</v>
      </c>
    </row>
    <row r="46" spans="1:10" x14ac:dyDescent="0.25">
      <c r="A46" t="s">
        <v>47</v>
      </c>
      <c r="B46" s="639"/>
      <c r="C46" s="639"/>
      <c r="D46" s="639"/>
      <c r="E46" s="639"/>
      <c r="F46" s="639"/>
      <c r="G46" s="639"/>
      <c r="H46" s="777"/>
      <c r="J46" t="s">
        <v>3472</v>
      </c>
    </row>
    <row r="47" spans="1:10" x14ac:dyDescent="0.25">
      <c r="A47" s="645" t="s">
        <v>42</v>
      </c>
      <c r="B47" s="639">
        <v>-440181</v>
      </c>
      <c r="C47" s="639">
        <v>-440181</v>
      </c>
      <c r="D47" s="639">
        <v>-422291</v>
      </c>
      <c r="E47" s="639">
        <v>-500000</v>
      </c>
      <c r="F47" s="639">
        <v>-550000</v>
      </c>
      <c r="G47" s="639">
        <v>-616000.00000000012</v>
      </c>
      <c r="H47" s="644"/>
      <c r="J47" t="s">
        <v>3475</v>
      </c>
    </row>
    <row r="48" spans="1:10" x14ac:dyDescent="0.25">
      <c r="A48" t="s">
        <v>49</v>
      </c>
      <c r="B48" s="639">
        <v>19689799</v>
      </c>
      <c r="C48" s="639">
        <v>10175245</v>
      </c>
      <c r="D48" s="639">
        <v>8353760</v>
      </c>
      <c r="E48" s="639">
        <v>11867048.705342466</v>
      </c>
      <c r="F48" s="639">
        <v>17405004.767835621</v>
      </c>
      <c r="G48" s="639">
        <v>30023633.22451644</v>
      </c>
      <c r="J48" t="s">
        <v>3481</v>
      </c>
    </row>
    <row r="49" spans="1:10" x14ac:dyDescent="0.25">
      <c r="A49" t="s">
        <v>3084</v>
      </c>
      <c r="B49" s="639">
        <v>36587</v>
      </c>
      <c r="C49" s="639">
        <v>448421</v>
      </c>
      <c r="D49" s="639">
        <v>185869</v>
      </c>
      <c r="E49" s="639">
        <v>185869</v>
      </c>
      <c r="F49" s="639">
        <v>185869</v>
      </c>
      <c r="G49" s="639">
        <v>185869</v>
      </c>
      <c r="J49" t="s">
        <v>3486</v>
      </c>
    </row>
    <row r="50" spans="1:10" x14ac:dyDescent="0.25">
      <c r="A50" t="s">
        <v>51</v>
      </c>
      <c r="B50" s="639"/>
      <c r="C50" s="639">
        <v>0</v>
      </c>
      <c r="D50" s="639">
        <v>0</v>
      </c>
      <c r="E50" s="639">
        <v>0</v>
      </c>
      <c r="F50" s="639">
        <v>0</v>
      </c>
      <c r="G50" s="639">
        <v>0</v>
      </c>
      <c r="J50" t="s">
        <v>3490</v>
      </c>
    </row>
    <row r="51" spans="1:10" x14ac:dyDescent="0.25">
      <c r="A51" t="s">
        <v>52</v>
      </c>
      <c r="B51" s="639">
        <v>22645965</v>
      </c>
      <c r="C51" s="639">
        <v>29227779</v>
      </c>
      <c r="D51" s="639">
        <v>35859241</v>
      </c>
      <c r="E51" s="639">
        <v>35859241</v>
      </c>
      <c r="F51" s="639">
        <v>35859241</v>
      </c>
      <c r="G51" s="639">
        <v>35859241</v>
      </c>
      <c r="J51" t="s">
        <v>3493</v>
      </c>
    </row>
    <row r="52" spans="1:10" ht="13.2" customHeight="1" x14ac:dyDescent="0.25">
      <c r="A52" t="s">
        <v>54</v>
      </c>
      <c r="B52" s="639">
        <v>115963589</v>
      </c>
      <c r="C52" s="639">
        <v>125671331</v>
      </c>
      <c r="D52" s="639">
        <v>127531565</v>
      </c>
      <c r="E52" s="639">
        <v>133908143.25</v>
      </c>
      <c r="F52" s="639">
        <v>140603550.41249999</v>
      </c>
      <c r="G52" s="639">
        <v>154383727.93312499</v>
      </c>
      <c r="H52" s="777" t="s">
        <v>3085</v>
      </c>
      <c r="J52" t="s">
        <v>3497</v>
      </c>
    </row>
    <row r="53" spans="1:10" x14ac:dyDescent="0.25">
      <c r="A53" t="s">
        <v>55</v>
      </c>
      <c r="B53" s="639">
        <v>774818017</v>
      </c>
      <c r="C53" s="639">
        <v>1065801034</v>
      </c>
      <c r="D53" s="639">
        <v>1093777347</v>
      </c>
      <c r="E53" s="639">
        <v>1203155081.7</v>
      </c>
      <c r="F53" s="639">
        <v>1443786098.04</v>
      </c>
      <c r="G53" s="639">
        <v>1800043317.648</v>
      </c>
      <c r="H53" s="777"/>
      <c r="J53" t="s">
        <v>3500</v>
      </c>
    </row>
    <row r="54" spans="1:10" x14ac:dyDescent="0.25">
      <c r="A54" t="s">
        <v>56</v>
      </c>
      <c r="B54" s="639">
        <v>18082895</v>
      </c>
      <c r="C54" s="639">
        <v>23467824</v>
      </c>
      <c r="D54" s="639">
        <v>25715544</v>
      </c>
      <c r="E54" s="639">
        <v>29572875.599999998</v>
      </c>
      <c r="F54" s="639">
        <v>35487450.719999999</v>
      </c>
      <c r="G54" s="639">
        <v>45859313.399999999</v>
      </c>
      <c r="H54" s="777"/>
      <c r="J54" t="s">
        <v>3504</v>
      </c>
    </row>
    <row r="55" spans="1:10" x14ac:dyDescent="0.25">
      <c r="A55" t="s">
        <v>57</v>
      </c>
      <c r="B55" s="639">
        <v>306813256</v>
      </c>
      <c r="C55" s="639">
        <v>41509336</v>
      </c>
      <c r="D55" s="639">
        <v>59444058</v>
      </c>
      <c r="E55" s="639">
        <v>150000000</v>
      </c>
      <c r="F55" s="639">
        <v>150000000</v>
      </c>
      <c r="G55" s="639">
        <v>75000000</v>
      </c>
      <c r="H55" s="777"/>
      <c r="J55" t="s">
        <v>3507</v>
      </c>
    </row>
    <row r="56" spans="1:10" x14ac:dyDescent="0.25">
      <c r="A56" t="s">
        <v>59</v>
      </c>
      <c r="B56" s="639">
        <v>-632196524</v>
      </c>
      <c r="C56" s="639">
        <v>-670157390</v>
      </c>
      <c r="D56" s="639">
        <v>-731398432</v>
      </c>
      <c r="E56" s="639">
        <v>-810821220</v>
      </c>
      <c r="F56" s="639">
        <v>-901923843.04999995</v>
      </c>
      <c r="G56" s="639">
        <v>-1006434918.0925</v>
      </c>
      <c r="H56" s="777"/>
      <c r="J56" t="s">
        <v>3510</v>
      </c>
    </row>
    <row r="57" spans="1:10" x14ac:dyDescent="0.25">
      <c r="A57" t="s">
        <v>61</v>
      </c>
      <c r="B57" s="639">
        <v>49900</v>
      </c>
      <c r="C57" s="639">
        <v>49900</v>
      </c>
      <c r="D57" s="639">
        <v>49900</v>
      </c>
      <c r="E57" s="639">
        <v>49900</v>
      </c>
      <c r="F57" s="639">
        <v>49900</v>
      </c>
      <c r="G57" s="639">
        <v>49900</v>
      </c>
      <c r="J57" t="s">
        <v>3513</v>
      </c>
    </row>
    <row r="58" spans="1:10" x14ac:dyDescent="0.25">
      <c r="A58" t="s">
        <v>3086</v>
      </c>
      <c r="B58" s="639">
        <v>0</v>
      </c>
      <c r="C58" s="639">
        <v>0</v>
      </c>
      <c r="D58" s="639">
        <v>0</v>
      </c>
      <c r="E58" s="639">
        <v>0</v>
      </c>
      <c r="F58" s="639">
        <v>0</v>
      </c>
      <c r="G58" s="639">
        <v>0</v>
      </c>
      <c r="J58" t="s">
        <v>3517</v>
      </c>
    </row>
    <row r="59" spans="1:10" x14ac:dyDescent="0.25">
      <c r="A59" t="s">
        <v>1782</v>
      </c>
      <c r="B59" s="639">
        <v>9368874</v>
      </c>
      <c r="C59" s="639">
        <v>2108245</v>
      </c>
      <c r="D59" s="639">
        <v>32355577</v>
      </c>
      <c r="E59" s="639">
        <v>32355577</v>
      </c>
      <c r="F59" s="639">
        <v>32355577</v>
      </c>
      <c r="G59" s="639">
        <v>32355577</v>
      </c>
      <c r="J59" t="s">
        <v>3521</v>
      </c>
    </row>
    <row r="60" spans="1:10" x14ac:dyDescent="0.25">
      <c r="A60" t="s">
        <v>63</v>
      </c>
      <c r="B60" s="639">
        <v>29520978</v>
      </c>
      <c r="C60" s="639">
        <v>10732391</v>
      </c>
      <c r="D60" s="639">
        <v>22185049</v>
      </c>
      <c r="E60" s="639">
        <v>0</v>
      </c>
      <c r="F60" s="639">
        <v>0</v>
      </c>
      <c r="G60" s="639">
        <v>0</v>
      </c>
      <c r="J60" t="s">
        <v>3525</v>
      </c>
    </row>
    <row r="61" spans="1:10" x14ac:dyDescent="0.25">
      <c r="A61" t="s">
        <v>1775</v>
      </c>
      <c r="B61" s="639">
        <v>13595501</v>
      </c>
      <c r="C61" s="639">
        <v>30783785</v>
      </c>
      <c r="D61" s="639">
        <v>27665134</v>
      </c>
      <c r="E61" s="639">
        <v>14610889</v>
      </c>
      <c r="F61" s="639">
        <v>14610889</v>
      </c>
      <c r="G61" s="639">
        <v>14610889</v>
      </c>
      <c r="J61" t="s">
        <v>3529</v>
      </c>
    </row>
    <row r="62" spans="1:10" x14ac:dyDescent="0.25">
      <c r="A62" t="s">
        <v>64</v>
      </c>
      <c r="B62" s="639"/>
      <c r="C62" s="639"/>
      <c r="D62" s="639"/>
      <c r="E62" s="639"/>
      <c r="F62" s="639"/>
      <c r="G62" s="639"/>
      <c r="J62" t="s">
        <v>3534</v>
      </c>
    </row>
    <row r="63" spans="1:10" ht="13.2" customHeight="1" x14ac:dyDescent="0.25">
      <c r="A63" t="s">
        <v>65</v>
      </c>
      <c r="B63" s="639"/>
      <c r="C63" s="639"/>
      <c r="D63" s="639"/>
      <c r="E63" s="639"/>
      <c r="F63" s="639"/>
      <c r="G63" s="639"/>
      <c r="H63" s="777" t="s">
        <v>3087</v>
      </c>
      <c r="I63" s="778"/>
      <c r="J63" t="s">
        <v>3537</v>
      </c>
    </row>
    <row r="64" spans="1:10" x14ac:dyDescent="0.25">
      <c r="A64" t="s">
        <v>66</v>
      </c>
      <c r="B64" s="639"/>
      <c r="C64" s="639"/>
      <c r="D64" s="639"/>
      <c r="E64" s="639"/>
      <c r="F64" s="639"/>
      <c r="G64" s="639"/>
      <c r="H64" s="777"/>
      <c r="I64" s="778"/>
      <c r="J64" t="s">
        <v>3541</v>
      </c>
    </row>
    <row r="65" spans="1:10" x14ac:dyDescent="0.25">
      <c r="A65" s="321" t="s">
        <v>3088</v>
      </c>
      <c r="B65" s="640">
        <f t="shared" ref="B65:G65" si="3">SUM(B37:B64)</f>
        <v>1487944672</v>
      </c>
      <c r="C65" s="640">
        <f t="shared" si="3"/>
        <v>2153065499</v>
      </c>
      <c r="D65" s="640">
        <f t="shared" si="3"/>
        <v>2450972018</v>
      </c>
      <c r="E65" s="640">
        <f t="shared" si="3"/>
        <v>2596068341.9339728</v>
      </c>
      <c r="F65" s="640">
        <f t="shared" si="3"/>
        <v>2895009530.1566229</v>
      </c>
      <c r="G65" s="640">
        <f t="shared" si="3"/>
        <v>3338033442.9696321</v>
      </c>
      <c r="J65" t="s">
        <v>3545</v>
      </c>
    </row>
    <row r="66" spans="1:10" x14ac:dyDescent="0.25">
      <c r="J66" t="s">
        <v>3549</v>
      </c>
    </row>
    <row r="67" spans="1:10" x14ac:dyDescent="0.25">
      <c r="C67" s="28"/>
      <c r="J67" t="s">
        <v>3552</v>
      </c>
    </row>
    <row r="68" spans="1:10" x14ac:dyDescent="0.25">
      <c r="A68" t="s">
        <v>72</v>
      </c>
      <c r="B68" s="639"/>
      <c r="C68" s="639"/>
      <c r="D68" s="639">
        <v>92810674</v>
      </c>
      <c r="E68" s="639"/>
      <c r="F68" s="639"/>
      <c r="G68" s="639">
        <v>16820612</v>
      </c>
      <c r="J68" t="s">
        <v>3556</v>
      </c>
    </row>
    <row r="69" spans="1:10" x14ac:dyDescent="0.25">
      <c r="A69" t="s">
        <v>73</v>
      </c>
      <c r="B69" s="639">
        <v>13448647</v>
      </c>
      <c r="C69" s="639">
        <v>13844474</v>
      </c>
      <c r="D69" s="639">
        <v>7575014</v>
      </c>
      <c r="E69" s="639">
        <v>39880080</v>
      </c>
      <c r="F69" s="639">
        <v>39880080</v>
      </c>
      <c r="G69" s="639">
        <v>39880080</v>
      </c>
      <c r="J69" t="s">
        <v>3558</v>
      </c>
    </row>
    <row r="70" spans="1:10" x14ac:dyDescent="0.25">
      <c r="A70" t="s">
        <v>74</v>
      </c>
      <c r="B70" s="639"/>
      <c r="C70" s="639"/>
      <c r="D70" s="639"/>
      <c r="E70" s="639"/>
      <c r="F70" s="639"/>
      <c r="G70" s="639"/>
      <c r="J70" t="s">
        <v>3562</v>
      </c>
    </row>
    <row r="71" spans="1:10" x14ac:dyDescent="0.25">
      <c r="A71" t="s">
        <v>75</v>
      </c>
      <c r="B71" s="639"/>
      <c r="C71" s="639"/>
      <c r="D71" s="639"/>
      <c r="E71" s="639"/>
      <c r="F71" s="639"/>
      <c r="G71" s="639"/>
      <c r="J71" t="s">
        <v>3565</v>
      </c>
    </row>
    <row r="72" spans="1:10" x14ac:dyDescent="0.25">
      <c r="A72" t="s">
        <v>3096</v>
      </c>
      <c r="B72" s="639"/>
      <c r="C72" s="639"/>
      <c r="D72" s="639"/>
      <c r="E72" s="639"/>
      <c r="F72" s="639"/>
      <c r="G72" s="639"/>
      <c r="J72" t="s">
        <v>3569</v>
      </c>
    </row>
    <row r="73" spans="1:10" x14ac:dyDescent="0.25">
      <c r="A73" t="s">
        <v>391</v>
      </c>
      <c r="B73" s="639">
        <v>81125008</v>
      </c>
      <c r="C73" s="639">
        <v>55975575</v>
      </c>
      <c r="D73" s="639">
        <v>69189768</v>
      </c>
      <c r="E73" s="639">
        <v>51423877.723150685</v>
      </c>
      <c r="F73" s="639">
        <v>56566265.495465763</v>
      </c>
      <c r="G73" s="639">
        <v>65051205.319785625</v>
      </c>
      <c r="J73" t="s">
        <v>3573</v>
      </c>
    </row>
    <row r="74" spans="1:10" x14ac:dyDescent="0.25">
      <c r="A74" t="s">
        <v>392</v>
      </c>
      <c r="B74" s="639">
        <v>9907567</v>
      </c>
      <c r="C74" s="639">
        <v>15922919</v>
      </c>
      <c r="D74" s="639">
        <v>28548303</v>
      </c>
      <c r="E74" s="639">
        <v>19778414.508904111</v>
      </c>
      <c r="F74" s="639">
        <v>21756255.959794525</v>
      </c>
      <c r="G74" s="639">
        <v>25019694.3537637</v>
      </c>
      <c r="J74" t="s">
        <v>3576</v>
      </c>
    </row>
    <row r="75" spans="1:10" x14ac:dyDescent="0.25">
      <c r="A75" t="s">
        <v>76</v>
      </c>
      <c r="B75" s="639">
        <v>42427357</v>
      </c>
      <c r="C75" s="639">
        <v>45237756</v>
      </c>
      <c r="D75" s="639">
        <v>54983463</v>
      </c>
      <c r="E75" s="639">
        <v>55593122.410958908</v>
      </c>
      <c r="F75" s="639">
        <v>61152434.652054809</v>
      </c>
      <c r="G75" s="639">
        <v>69102251.156821921</v>
      </c>
      <c r="J75" t="s">
        <v>3580</v>
      </c>
    </row>
    <row r="76" spans="1:10" x14ac:dyDescent="0.25">
      <c r="A76" t="s">
        <v>3089</v>
      </c>
      <c r="B76" s="639">
        <v>450980828</v>
      </c>
      <c r="C76" s="639">
        <v>993519241</v>
      </c>
      <c r="D76" s="639">
        <v>1184333117</v>
      </c>
      <c r="E76" s="639">
        <v>909807067.40958905</v>
      </c>
      <c r="F76" s="639">
        <v>1000787774.1505481</v>
      </c>
      <c r="G76" s="639">
        <v>1150905940.2731302</v>
      </c>
      <c r="J76" t="s">
        <v>3583</v>
      </c>
    </row>
    <row r="77" spans="1:10" x14ac:dyDescent="0.25">
      <c r="A77" t="s">
        <v>78</v>
      </c>
      <c r="B77" s="639">
        <v>47959847</v>
      </c>
      <c r="C77" s="639">
        <v>78620762</v>
      </c>
      <c r="D77" s="639">
        <v>78626668</v>
      </c>
      <c r="E77" s="639"/>
      <c r="F77" s="639"/>
      <c r="G77" s="639"/>
      <c r="J77" t="s">
        <v>3587</v>
      </c>
    </row>
    <row r="78" spans="1:10" x14ac:dyDescent="0.25">
      <c r="A78" t="s">
        <v>79</v>
      </c>
      <c r="B78" s="639">
        <v>0</v>
      </c>
      <c r="C78" s="639">
        <v>0</v>
      </c>
      <c r="D78" s="639">
        <v>0</v>
      </c>
      <c r="E78" s="639"/>
      <c r="F78" s="639"/>
      <c r="G78" s="639"/>
      <c r="J78" t="s">
        <v>3591</v>
      </c>
    </row>
    <row r="79" spans="1:10" x14ac:dyDescent="0.25">
      <c r="A79" t="s">
        <v>80</v>
      </c>
      <c r="B79" s="639">
        <v>0</v>
      </c>
      <c r="C79" s="639">
        <v>0</v>
      </c>
      <c r="D79" s="639">
        <v>0</v>
      </c>
      <c r="E79" s="639"/>
      <c r="F79" s="639"/>
      <c r="G79" s="639"/>
      <c r="J79" t="s">
        <v>3595</v>
      </c>
    </row>
    <row r="80" spans="1:10" x14ac:dyDescent="0.25">
      <c r="A80" t="s">
        <v>81</v>
      </c>
      <c r="B80" s="639">
        <v>34717057</v>
      </c>
      <c r="C80" s="639">
        <v>20283600</v>
      </c>
      <c r="D80" s="639">
        <v>17991779</v>
      </c>
      <c r="E80" s="639">
        <v>17991779</v>
      </c>
      <c r="F80" s="639">
        <v>17991779</v>
      </c>
      <c r="G80" s="639">
        <v>17991779</v>
      </c>
      <c r="J80" t="s">
        <v>3599</v>
      </c>
    </row>
    <row r="81" spans="1:10" x14ac:dyDescent="0.25">
      <c r="A81" t="s">
        <v>83</v>
      </c>
      <c r="B81" s="639"/>
      <c r="C81" s="639"/>
      <c r="D81" s="639"/>
      <c r="E81" s="639"/>
      <c r="F81" s="639"/>
      <c r="G81" s="639"/>
      <c r="J81" t="s">
        <v>3602</v>
      </c>
    </row>
    <row r="82" spans="1:10" x14ac:dyDescent="0.25">
      <c r="A82" t="s">
        <v>84</v>
      </c>
      <c r="B82" s="639">
        <v>20172994</v>
      </c>
      <c r="C82" s="639">
        <v>6922261</v>
      </c>
      <c r="D82" s="639"/>
      <c r="E82" s="639">
        <v>159520320</v>
      </c>
      <c r="F82" s="639">
        <v>119640240</v>
      </c>
      <c r="G82" s="639">
        <v>79760160</v>
      </c>
      <c r="J82" t="s">
        <v>3605</v>
      </c>
    </row>
    <row r="83" spans="1:10" x14ac:dyDescent="0.25">
      <c r="A83" t="s">
        <v>85</v>
      </c>
      <c r="B83" s="639"/>
      <c r="C83" s="639"/>
      <c r="D83" s="639"/>
      <c r="E83" s="639"/>
      <c r="F83" s="639"/>
      <c r="G83" s="639"/>
      <c r="J83" t="s">
        <v>3609</v>
      </c>
    </row>
    <row r="84" spans="1:10" x14ac:dyDescent="0.25">
      <c r="A84" t="s">
        <v>3090</v>
      </c>
      <c r="B84" s="639"/>
      <c r="C84" s="639"/>
      <c r="D84" s="639"/>
      <c r="E84" s="639"/>
      <c r="F84" s="639"/>
      <c r="G84" s="639"/>
      <c r="J84" t="s">
        <v>3613</v>
      </c>
    </row>
    <row r="85" spans="1:10" x14ac:dyDescent="0.25">
      <c r="A85" t="s">
        <v>88</v>
      </c>
      <c r="B85" s="639">
        <v>19024798</v>
      </c>
      <c r="C85" s="639">
        <v>23039100</v>
      </c>
      <c r="D85" s="639">
        <v>25829073</v>
      </c>
      <c r="E85" s="639">
        <v>25829073</v>
      </c>
      <c r="F85" s="639">
        <v>25829073</v>
      </c>
      <c r="G85" s="639">
        <v>25829073</v>
      </c>
      <c r="J85" t="s">
        <v>3616</v>
      </c>
    </row>
    <row r="86" spans="1:10" x14ac:dyDescent="0.25">
      <c r="A86" t="s">
        <v>89</v>
      </c>
      <c r="B86" s="639">
        <v>16097801</v>
      </c>
      <c r="C86" s="639">
        <v>20717600</v>
      </c>
      <c r="D86" s="639">
        <v>22144111</v>
      </c>
      <c r="E86" s="639">
        <v>22144111</v>
      </c>
      <c r="F86" s="639">
        <v>22144111</v>
      </c>
      <c r="G86" s="639">
        <v>22144111</v>
      </c>
      <c r="J86" t="s">
        <v>3619</v>
      </c>
    </row>
    <row r="87" spans="1:10" x14ac:dyDescent="0.25">
      <c r="A87" t="s">
        <v>90</v>
      </c>
      <c r="B87" s="639">
        <v>22073169</v>
      </c>
      <c r="C87" s="639">
        <v>62659358</v>
      </c>
      <c r="D87" s="639">
        <v>50888204</v>
      </c>
      <c r="E87" s="639"/>
      <c r="F87" s="639"/>
      <c r="G87" s="639"/>
      <c r="J87" t="s">
        <v>3623</v>
      </c>
    </row>
    <row r="88" spans="1:10" x14ac:dyDescent="0.25">
      <c r="A88" t="s">
        <v>91</v>
      </c>
      <c r="B88" s="639"/>
      <c r="C88" s="639"/>
      <c r="D88" s="639"/>
      <c r="E88" s="639"/>
      <c r="F88" s="639"/>
      <c r="G88" s="639"/>
      <c r="J88" t="s">
        <v>3627</v>
      </c>
    </row>
    <row r="89" spans="1:10" x14ac:dyDescent="0.25">
      <c r="A89" t="s">
        <v>93</v>
      </c>
      <c r="B89" s="639"/>
      <c r="C89" s="639"/>
      <c r="D89" s="639"/>
      <c r="E89" s="639"/>
      <c r="F89" s="639"/>
      <c r="G89" s="639"/>
      <c r="J89" t="s">
        <v>3631</v>
      </c>
    </row>
    <row r="90" spans="1:10" x14ac:dyDescent="0.25">
      <c r="A90" t="s">
        <v>94</v>
      </c>
      <c r="B90" s="639"/>
      <c r="C90" s="639"/>
      <c r="D90" s="639"/>
      <c r="E90" s="639"/>
      <c r="F90" s="639"/>
      <c r="G90" s="639"/>
      <c r="J90" t="s">
        <v>3634</v>
      </c>
    </row>
    <row r="91" spans="1:10" x14ac:dyDescent="0.25">
      <c r="A91" t="s">
        <v>95</v>
      </c>
      <c r="B91" s="639">
        <v>393000000</v>
      </c>
      <c r="C91" s="639">
        <v>393000000</v>
      </c>
      <c r="D91" s="639">
        <v>393000000</v>
      </c>
      <c r="E91" s="639">
        <v>595634715.89999998</v>
      </c>
      <c r="F91" s="639">
        <v>595634715.89999998</v>
      </c>
      <c r="G91" s="639">
        <v>595634715.89999998</v>
      </c>
      <c r="J91" t="s">
        <v>3638</v>
      </c>
    </row>
    <row r="92" spans="1:10" x14ac:dyDescent="0.25">
      <c r="A92" t="s">
        <v>96</v>
      </c>
      <c r="B92" s="639"/>
      <c r="C92" s="639"/>
      <c r="D92" s="639"/>
      <c r="E92" s="639"/>
      <c r="F92" s="639"/>
      <c r="G92" s="639"/>
      <c r="J92" t="s">
        <v>3642</v>
      </c>
    </row>
    <row r="93" spans="1:10" x14ac:dyDescent="0.25">
      <c r="A93" t="s">
        <v>97</v>
      </c>
      <c r="B93" s="639">
        <v>195548111</v>
      </c>
      <c r="C93" s="642">
        <f>B93+B33+B32+B31+B30</f>
        <v>199915111.90000001</v>
      </c>
      <c r="D93" s="642">
        <f>C93+C33+C32+C31+C30</f>
        <v>266236854.70000002</v>
      </c>
      <c r="E93" s="642">
        <f>D93+D33+D32+D31+D30</f>
        <v>241342160.20000002</v>
      </c>
      <c r="F93" s="642">
        <f>E93+E33+E32+E31+E30</f>
        <v>490621881.01333344</v>
      </c>
      <c r="G93" s="642">
        <f>F93+F33+F32+F31+F30</f>
        <v>698441507.5733757</v>
      </c>
      <c r="J93" t="s">
        <v>3646</v>
      </c>
    </row>
    <row r="94" spans="1:10" x14ac:dyDescent="0.25">
      <c r="A94" t="s">
        <v>102</v>
      </c>
      <c r="B94" s="639">
        <v>137094487.09999999</v>
      </c>
      <c r="C94" s="639">
        <v>157085998.29999998</v>
      </c>
      <c r="D94" s="639">
        <v>183709683.79999998</v>
      </c>
      <c r="E94" s="639">
        <f>207843899.8</f>
        <v>207843899.80000001</v>
      </c>
      <c r="F94" s="639">
        <f>235185293.481333</f>
        <v>235185293.48133299</v>
      </c>
      <c r="G94" s="639">
        <f>264187778.605471</f>
        <v>264187778.60547099</v>
      </c>
      <c r="J94" t="s">
        <v>3650</v>
      </c>
    </row>
    <row r="95" spans="1:10" x14ac:dyDescent="0.25">
      <c r="A95" t="s">
        <v>103</v>
      </c>
      <c r="B95" s="639"/>
      <c r="C95" s="639"/>
      <c r="D95" s="639"/>
      <c r="E95" s="639"/>
      <c r="F95" s="639"/>
      <c r="G95" s="639"/>
      <c r="J95" t="s">
        <v>3653</v>
      </c>
    </row>
    <row r="96" spans="1:10" x14ac:dyDescent="0.25">
      <c r="A96" t="s">
        <v>1783</v>
      </c>
      <c r="B96" s="639"/>
      <c r="C96" s="639"/>
      <c r="D96" s="639"/>
      <c r="E96" s="639"/>
      <c r="F96" s="639"/>
      <c r="G96" s="639"/>
      <c r="J96" t="s">
        <v>3657</v>
      </c>
    </row>
    <row r="97" spans="1:10" x14ac:dyDescent="0.25">
      <c r="A97" t="s">
        <v>104</v>
      </c>
      <c r="B97" s="639"/>
      <c r="C97" s="639"/>
      <c r="D97" s="639"/>
      <c r="E97" s="639"/>
      <c r="F97" s="639"/>
      <c r="G97" s="639"/>
      <c r="J97" t="s">
        <v>3661</v>
      </c>
    </row>
    <row r="98" spans="1:10" x14ac:dyDescent="0.25">
      <c r="A98" s="321" t="s">
        <v>3092</v>
      </c>
      <c r="B98" s="640">
        <f t="shared" ref="B98:G98" si="4">SUM(B68:B97)+B30+B31+B32+B33</f>
        <v>1487944672</v>
      </c>
      <c r="C98" s="640">
        <f t="shared" si="4"/>
        <v>2153065499</v>
      </c>
      <c r="D98" s="640">
        <f t="shared" si="4"/>
        <v>2450972018</v>
      </c>
      <c r="E98" s="640">
        <f t="shared" si="4"/>
        <v>2596068341.7659364</v>
      </c>
      <c r="F98" s="640">
        <f t="shared" si="4"/>
        <v>2895009530.2125716</v>
      </c>
      <c r="G98" s="640">
        <f t="shared" si="4"/>
        <v>3338033442.8212919</v>
      </c>
      <c r="J98" t="s">
        <v>3664</v>
      </c>
    </row>
    <row r="99" spans="1:10" s="28" customFormat="1" x14ac:dyDescent="0.25">
      <c r="B99" s="641"/>
      <c r="C99" s="641"/>
      <c r="D99" s="641"/>
      <c r="E99" s="641"/>
      <c r="F99" s="641"/>
      <c r="G99" s="641"/>
      <c r="J99" t="s">
        <v>3668</v>
      </c>
    </row>
    <row r="100" spans="1:10" x14ac:dyDescent="0.25">
      <c r="A100" s="321" t="s">
        <v>3091</v>
      </c>
      <c r="B100" s="640">
        <f t="shared" ref="B100:G100" si="5">B98-B65</f>
        <v>0</v>
      </c>
      <c r="C100" s="640">
        <f t="shared" si="5"/>
        <v>0</v>
      </c>
      <c r="D100" s="640">
        <f t="shared" si="5"/>
        <v>0</v>
      </c>
      <c r="E100" s="640">
        <f t="shared" si="5"/>
        <v>-0.16803646087646484</v>
      </c>
      <c r="F100" s="640">
        <f t="shared" si="5"/>
        <v>5.5948734283447266E-2</v>
      </c>
      <c r="G100" s="640">
        <f t="shared" si="5"/>
        <v>-0.14834022521972656</v>
      </c>
      <c r="J100" t="s">
        <v>3672</v>
      </c>
    </row>
    <row r="101" spans="1:10" x14ac:dyDescent="0.25">
      <c r="J101" t="s">
        <v>3675</v>
      </c>
    </row>
    <row r="102" spans="1:10" x14ac:dyDescent="0.25">
      <c r="A102" t="s">
        <v>1808</v>
      </c>
      <c r="B102" s="639">
        <f>B91/1000</f>
        <v>393000</v>
      </c>
      <c r="C102" s="639">
        <f t="shared" ref="C102:G102" si="6">C91/1000</f>
        <v>393000</v>
      </c>
      <c r="D102" s="639">
        <f t="shared" si="6"/>
        <v>393000</v>
      </c>
      <c r="E102" s="639">
        <f t="shared" si="6"/>
        <v>595634.71589999995</v>
      </c>
      <c r="F102" s="639">
        <f t="shared" si="6"/>
        <v>595634.71589999995</v>
      </c>
      <c r="G102" s="639">
        <f t="shared" si="6"/>
        <v>595634.71589999995</v>
      </c>
      <c r="J102" t="s">
        <v>3678</v>
      </c>
    </row>
    <row r="103" spans="1:10" x14ac:dyDescent="0.25">
      <c r="A103" t="s">
        <v>3202</v>
      </c>
      <c r="B103" s="639">
        <v>10</v>
      </c>
      <c r="C103" s="639">
        <v>11</v>
      </c>
      <c r="D103" s="639">
        <v>12</v>
      </c>
      <c r="E103" s="639">
        <v>13</v>
      </c>
      <c r="F103" s="639">
        <v>14</v>
      </c>
      <c r="G103" s="639">
        <v>15</v>
      </c>
      <c r="J103" t="s">
        <v>3684</v>
      </c>
    </row>
    <row r="104" spans="1:10" x14ac:dyDescent="0.25">
      <c r="J104" t="s">
        <v>3688</v>
      </c>
    </row>
    <row r="105" spans="1:10" x14ac:dyDescent="0.25">
      <c r="J105" t="s">
        <v>3692</v>
      </c>
    </row>
    <row r="106" spans="1:10" x14ac:dyDescent="0.25">
      <c r="J106" t="s">
        <v>3696</v>
      </c>
    </row>
    <row r="107" spans="1:10" x14ac:dyDescent="0.25">
      <c r="J107" t="s">
        <v>3699</v>
      </c>
    </row>
    <row r="108" spans="1:10" x14ac:dyDescent="0.25">
      <c r="J108" t="s">
        <v>3703</v>
      </c>
    </row>
    <row r="109" spans="1:10" x14ac:dyDescent="0.25">
      <c r="J109" t="s">
        <v>3706</v>
      </c>
    </row>
    <row r="110" spans="1:10" x14ac:dyDescent="0.25">
      <c r="J110" t="s">
        <v>3710</v>
      </c>
    </row>
    <row r="111" spans="1:10" x14ac:dyDescent="0.25">
      <c r="J111" t="s">
        <v>3714</v>
      </c>
    </row>
    <row r="112" spans="1:10" x14ac:dyDescent="0.25">
      <c r="J112" t="s">
        <v>3718</v>
      </c>
    </row>
    <row r="113" spans="10:10" x14ac:dyDescent="0.25">
      <c r="J113" t="s">
        <v>3721</v>
      </c>
    </row>
    <row r="114" spans="10:10" x14ac:dyDescent="0.25">
      <c r="J114" t="s">
        <v>3725</v>
      </c>
    </row>
    <row r="115" spans="10:10" x14ac:dyDescent="0.25">
      <c r="J115" t="s">
        <v>3729</v>
      </c>
    </row>
    <row r="116" spans="10:10" x14ac:dyDescent="0.25">
      <c r="J116" t="s">
        <v>3732</v>
      </c>
    </row>
    <row r="117" spans="10:10" x14ac:dyDescent="0.25">
      <c r="J117" t="s">
        <v>3736</v>
      </c>
    </row>
    <row r="118" spans="10:10" x14ac:dyDescent="0.25">
      <c r="J118" t="s">
        <v>3739</v>
      </c>
    </row>
    <row r="119" spans="10:10" x14ac:dyDescent="0.25">
      <c r="J119" t="s">
        <v>3742</v>
      </c>
    </row>
    <row r="120" spans="10:10" x14ac:dyDescent="0.25">
      <c r="J120" t="s">
        <v>3745</v>
      </c>
    </row>
    <row r="121" spans="10:10" x14ac:dyDescent="0.25">
      <c r="J121" t="s">
        <v>3748</v>
      </c>
    </row>
    <row r="122" spans="10:10" x14ac:dyDescent="0.25">
      <c r="J122" t="s">
        <v>3750</v>
      </c>
    </row>
    <row r="123" spans="10:10" x14ac:dyDescent="0.25">
      <c r="J123" t="s">
        <v>3755</v>
      </c>
    </row>
    <row r="124" spans="10:10" x14ac:dyDescent="0.25">
      <c r="J124" t="s">
        <v>3759</v>
      </c>
    </row>
    <row r="125" spans="10:10" x14ac:dyDescent="0.25">
      <c r="J125" t="s">
        <v>3762</v>
      </c>
    </row>
    <row r="126" spans="10:10" x14ac:dyDescent="0.25">
      <c r="J126" t="s">
        <v>3765</v>
      </c>
    </row>
    <row r="127" spans="10:10" x14ac:dyDescent="0.25">
      <c r="J127" t="s">
        <v>3769</v>
      </c>
    </row>
    <row r="128" spans="10:10" x14ac:dyDescent="0.25">
      <c r="J128" t="s">
        <v>3773</v>
      </c>
    </row>
    <row r="129" spans="10:10" x14ac:dyDescent="0.25">
      <c r="J129" t="s">
        <v>3776</v>
      </c>
    </row>
    <row r="130" spans="10:10" x14ac:dyDescent="0.25">
      <c r="J130" t="s">
        <v>3780</v>
      </c>
    </row>
    <row r="131" spans="10:10" x14ac:dyDescent="0.25">
      <c r="J131" t="s">
        <v>3784</v>
      </c>
    </row>
    <row r="132" spans="10:10" x14ac:dyDescent="0.25">
      <c r="J132" t="s">
        <v>3788</v>
      </c>
    </row>
    <row r="133" spans="10:10" x14ac:dyDescent="0.25">
      <c r="J133" t="s">
        <v>3792</v>
      </c>
    </row>
    <row r="134" spans="10:10" x14ac:dyDescent="0.25">
      <c r="J134" t="s">
        <v>3796</v>
      </c>
    </row>
    <row r="135" spans="10:10" x14ac:dyDescent="0.25">
      <c r="J135" t="s">
        <v>3801</v>
      </c>
    </row>
    <row r="136" spans="10:10" x14ac:dyDescent="0.25">
      <c r="J136" t="s">
        <v>3804</v>
      </c>
    </row>
    <row r="137" spans="10:10" x14ac:dyDescent="0.25">
      <c r="J137" t="s">
        <v>3807</v>
      </c>
    </row>
    <row r="138" spans="10:10" x14ac:dyDescent="0.25">
      <c r="J138" t="s">
        <v>3810</v>
      </c>
    </row>
    <row r="139" spans="10:10" x14ac:dyDescent="0.25">
      <c r="J139" t="s">
        <v>3814</v>
      </c>
    </row>
    <row r="140" spans="10:10" x14ac:dyDescent="0.25">
      <c r="J140" t="s">
        <v>3817</v>
      </c>
    </row>
    <row r="141" spans="10:10" x14ac:dyDescent="0.25">
      <c r="J141" t="s">
        <v>3831</v>
      </c>
    </row>
    <row r="142" spans="10:10" x14ac:dyDescent="0.25">
      <c r="J142" t="s">
        <v>3834</v>
      </c>
    </row>
    <row r="143" spans="10:10" x14ac:dyDescent="0.25">
      <c r="J143" t="s">
        <v>3837</v>
      </c>
    </row>
    <row r="144" spans="10:10" x14ac:dyDescent="0.25">
      <c r="J144" t="s">
        <v>3841</v>
      </c>
    </row>
    <row r="145" spans="10:10" x14ac:dyDescent="0.25">
      <c r="J145" t="s">
        <v>3845</v>
      </c>
    </row>
    <row r="146" spans="10:10" x14ac:dyDescent="0.25">
      <c r="J146" t="s">
        <v>3849</v>
      </c>
    </row>
    <row r="147" spans="10:10" x14ac:dyDescent="0.25">
      <c r="J147" t="s">
        <v>3853</v>
      </c>
    </row>
    <row r="148" spans="10:10" x14ac:dyDescent="0.25">
      <c r="J148" t="s">
        <v>3869</v>
      </c>
    </row>
    <row r="149" spans="10:10" x14ac:dyDescent="0.25">
      <c r="J149" t="s">
        <v>3879</v>
      </c>
    </row>
    <row r="150" spans="10:10" x14ac:dyDescent="0.25">
      <c r="J150" t="s">
        <v>3884</v>
      </c>
    </row>
    <row r="151" spans="10:10" x14ac:dyDescent="0.25">
      <c r="J151" t="s">
        <v>3887</v>
      </c>
    </row>
    <row r="152" spans="10:10" x14ac:dyDescent="0.25">
      <c r="J152" t="s">
        <v>3891</v>
      </c>
    </row>
    <row r="153" spans="10:10" x14ac:dyDescent="0.25">
      <c r="J153" t="s">
        <v>3895</v>
      </c>
    </row>
  </sheetData>
  <mergeCells count="3">
    <mergeCell ref="H42:H46"/>
    <mergeCell ref="H63:I64"/>
    <mergeCell ref="H52:H56"/>
  </mergeCells>
  <dataValidations count="4">
    <dataValidation type="list" allowBlank="1" showErrorMessage="1" sqref="B3" xr:uid="{00000000-0002-0000-0000-000000000000}">
      <formula1>"Thousands,Millions,Billions,Units"</formula1>
    </dataValidation>
    <dataValidation type="list" allowBlank="1" showInputMessage="1" showErrorMessage="1" sqref="B4" xr:uid="{00000000-0002-0000-0000-000001000000}">
      <formula1>"2014,2015,2015,2016,2017,2018,2019"</formula1>
    </dataValidation>
    <dataValidation allowBlank="1" showErrorMessage="1" sqref="A41:B41 A47" xr:uid="{00000000-0002-0000-0000-000002000000}"/>
    <dataValidation type="list" allowBlank="1" showInputMessage="1" showErrorMessage="1" sqref="B2" xr:uid="{00000000-0002-0000-0000-000003000000}">
      <formula1>$J$3:$J$153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'Data Needed'!$A$10:$A$103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>
      <selection activeCell="H9" sqref="H9"/>
    </sheetView>
  </sheetViews>
  <sheetFormatPr defaultRowHeight="13.2" x14ac:dyDescent="0.25"/>
  <cols>
    <col min="1" max="1" width="38.21875" bestFit="1" customWidth="1"/>
    <col min="2" max="2" width="18.21875" style="726" bestFit="1" customWidth="1"/>
    <col min="3" max="6" width="11.21875" style="726" bestFit="1" customWidth="1"/>
    <col min="8" max="8" width="28.21875" bestFit="1" customWidth="1"/>
  </cols>
  <sheetData>
    <row r="1" spans="1:8" x14ac:dyDescent="0.25">
      <c r="B1" s="727">
        <f>Input!F18</f>
        <v>2015</v>
      </c>
      <c r="C1" s="727">
        <f>Input!G18</f>
        <v>2016</v>
      </c>
      <c r="D1" s="727">
        <f>Input!H18</f>
        <v>2017</v>
      </c>
      <c r="E1" s="727">
        <f>Input!I18</f>
        <v>2018</v>
      </c>
      <c r="F1" s="727">
        <f>Input!J18</f>
        <v>2019</v>
      </c>
      <c r="H1" s="732" t="s">
        <v>3204</v>
      </c>
    </row>
    <row r="2" spans="1:8" x14ac:dyDescent="0.25">
      <c r="A2" s="652" t="s">
        <v>9</v>
      </c>
      <c r="B2" s="726">
        <f>Input!F23</f>
        <v>9.7554672497217831E-2</v>
      </c>
      <c r="C2" s="726">
        <f>Input!G23</f>
        <v>-6.3093401332307009E-3</v>
      </c>
      <c r="D2" s="726">
        <f>Input!H23</f>
        <v>0.10000000000000009</v>
      </c>
      <c r="E2" s="726">
        <f>Input!I23</f>
        <v>0.10000000000000009</v>
      </c>
      <c r="F2" s="726">
        <f>Input!J23</f>
        <v>0.12999999999999989</v>
      </c>
    </row>
    <row r="3" spans="1:8" x14ac:dyDescent="0.25">
      <c r="A3" s="646" t="s">
        <v>10</v>
      </c>
      <c r="B3" s="726">
        <f>Input!F25</f>
        <v>2.9706231119502657E-2</v>
      </c>
      <c r="C3" s="726">
        <f>Input!G25</f>
        <v>-2.6818471590999482E-2</v>
      </c>
      <c r="D3" s="726">
        <f>Input!H25</f>
        <v>5.0000000000000044E-2</v>
      </c>
      <c r="E3" s="726">
        <f>Input!I25</f>
        <v>0.10000000000000009</v>
      </c>
      <c r="F3" s="726">
        <f>Input!J25</f>
        <v>0.14999999999999991</v>
      </c>
    </row>
    <row r="4" spans="1:8" x14ac:dyDescent="0.25">
      <c r="A4" s="646" t="s">
        <v>11</v>
      </c>
      <c r="B4" s="726">
        <f>Input!F27</f>
        <v>0.3585773424178067</v>
      </c>
      <c r="C4" s="726">
        <f>Input!G27</f>
        <v>0.51121753924964408</v>
      </c>
      <c r="D4" s="726">
        <f>Input!H27</f>
        <v>0.29585796806045095</v>
      </c>
      <c r="E4" s="726">
        <f>Input!I27</f>
        <v>0.14999999999999991</v>
      </c>
      <c r="F4" s="726">
        <f>Input!J27</f>
        <v>0.14999999999999991</v>
      </c>
    </row>
    <row r="5" spans="1:8" x14ac:dyDescent="0.25">
      <c r="A5" s="653" t="s">
        <v>12</v>
      </c>
      <c r="B5" s="726">
        <f>Input!F30</f>
        <v>0</v>
      </c>
      <c r="C5" s="726">
        <f>Input!G30</f>
        <v>0</v>
      </c>
      <c r="D5" s="726">
        <f>Input!H30</f>
        <v>0</v>
      </c>
      <c r="E5" s="726">
        <f>Input!I30</f>
        <v>0</v>
      </c>
      <c r="F5" s="726">
        <f>Input!J30</f>
        <v>0</v>
      </c>
    </row>
    <row r="6" spans="1:8" x14ac:dyDescent="0.25">
      <c r="A6" s="704" t="s">
        <v>13</v>
      </c>
      <c r="B6" s="726">
        <f>Input!F34</f>
        <v>0.28203049895873766</v>
      </c>
      <c r="C6" s="726">
        <f>Input!G34</f>
        <v>0.30939714489528303</v>
      </c>
      <c r="D6" s="726">
        <f>Input!H34</f>
        <v>0.35000000000000009</v>
      </c>
      <c r="E6" s="726">
        <f>Input!I34</f>
        <v>0.19999999999999996</v>
      </c>
      <c r="F6" s="726">
        <f>Input!J34</f>
        <v>0.19999999999999996</v>
      </c>
    </row>
    <row r="7" spans="1:8" x14ac:dyDescent="0.25">
      <c r="A7" s="283" t="s">
        <v>3094</v>
      </c>
      <c r="B7" s="726">
        <f>Input!F36</f>
        <v>-0.47910259821900325</v>
      </c>
      <c r="C7" s="726">
        <f>Input!G36</f>
        <v>6.9991329178051611</v>
      </c>
      <c r="D7" s="726">
        <f>Input!H36</f>
        <v>4.1277838577476578E-2</v>
      </c>
      <c r="E7" s="726">
        <f>Input!I36</f>
        <v>0</v>
      </c>
      <c r="F7" s="726">
        <f>Input!J36</f>
        <v>0</v>
      </c>
    </row>
    <row r="8" spans="1:8" x14ac:dyDescent="0.25">
      <c r="A8" s="283" t="s">
        <v>14</v>
      </c>
      <c r="B8" s="726">
        <f>Input!F38</f>
        <v>43.51801324503311</v>
      </c>
      <c r="C8" s="726">
        <f>Input!G38</f>
        <v>-0.85439086095565653</v>
      </c>
      <c r="D8" s="726">
        <f>Input!H38</f>
        <v>0</v>
      </c>
      <c r="E8" s="726">
        <f>Input!I38</f>
        <v>0</v>
      </c>
      <c r="F8" s="726">
        <f>Input!J38</f>
        <v>0</v>
      </c>
    </row>
    <row r="9" spans="1:8" x14ac:dyDescent="0.25">
      <c r="A9" s="483" t="s">
        <v>1773</v>
      </c>
      <c r="B9" s="726">
        <f>Input!F40</f>
        <v>0</v>
      </c>
      <c r="C9" s="726">
        <f>Input!G40</f>
        <v>0</v>
      </c>
      <c r="D9" s="726">
        <f>Input!H40</f>
        <v>0</v>
      </c>
      <c r="E9" s="726">
        <f>Input!I40</f>
        <v>0</v>
      </c>
      <c r="F9" s="726">
        <f>Input!J40</f>
        <v>0</v>
      </c>
    </row>
    <row r="10" spans="1:8" x14ac:dyDescent="0.25">
      <c r="A10" s="646" t="s">
        <v>15</v>
      </c>
      <c r="B10" s="726">
        <f>Input!F42</f>
        <v>0</v>
      </c>
      <c r="C10" s="726">
        <f>Input!G42</f>
        <v>0</v>
      </c>
      <c r="D10" s="726">
        <f>Input!H42</f>
        <v>0</v>
      </c>
      <c r="E10" s="726">
        <f>Input!I42</f>
        <v>0</v>
      </c>
      <c r="F10" s="726">
        <f>Input!J42</f>
        <v>0</v>
      </c>
    </row>
    <row r="11" spans="1:8" x14ac:dyDescent="0.25">
      <c r="A11" s="282" t="s">
        <v>16</v>
      </c>
      <c r="B11" s="726">
        <f>Input!F45</f>
        <v>0.41541501282635362</v>
      </c>
      <c r="C11" s="726">
        <f>Input!G45</f>
        <v>-0.26779223988101231</v>
      </c>
      <c r="D11" s="726">
        <f>Input!H45</f>
        <v>0.26952657350576414</v>
      </c>
      <c r="E11" s="726">
        <f>Input!I45</f>
        <v>6.9321002504989959E-2</v>
      </c>
      <c r="F11" s="726">
        <f>Input!J45</f>
        <v>9.8134014741122488E-3</v>
      </c>
    </row>
    <row r="12" spans="1:8" x14ac:dyDescent="0.25">
      <c r="A12" s="706" t="s">
        <v>1774</v>
      </c>
      <c r="B12" s="726">
        <f>Input!F47</f>
        <v>-0.33672745378726587</v>
      </c>
      <c r="C12" s="726">
        <f>Input!G47</f>
        <v>104.80422640942872</v>
      </c>
      <c r="D12" s="726">
        <f>Input!H47</f>
        <v>-8.0398783015486974E-2</v>
      </c>
      <c r="E12" s="726">
        <f>Input!I47</f>
        <v>-0.19999999999999996</v>
      </c>
      <c r="F12" s="726">
        <f>Input!J47</f>
        <v>-0.25</v>
      </c>
    </row>
    <row r="13" spans="1:8" x14ac:dyDescent="0.25">
      <c r="A13" s="646" t="s">
        <v>17</v>
      </c>
      <c r="B13" s="726">
        <f>Input!F49</f>
        <v>0</v>
      </c>
      <c r="C13" s="726">
        <f>Input!G49</f>
        <v>0</v>
      </c>
      <c r="D13" s="726">
        <f>Input!H49</f>
        <v>0</v>
      </c>
      <c r="E13" s="726">
        <f>Input!I49</f>
        <v>0</v>
      </c>
      <c r="F13" s="726">
        <f>Input!J49</f>
        <v>0</v>
      </c>
    </row>
    <row r="14" spans="1:8" x14ac:dyDescent="0.25">
      <c r="A14" s="646" t="s">
        <v>18</v>
      </c>
      <c r="B14" s="726">
        <f>Input!F51</f>
        <v>2.8210801118250175</v>
      </c>
      <c r="C14" s="726">
        <f>Input!G51</f>
        <v>0.37910049775109633</v>
      </c>
      <c r="D14" s="726">
        <f>Input!H51</f>
        <v>-0.36170796136075112</v>
      </c>
      <c r="E14" s="726">
        <f>Input!I51</f>
        <v>1.3836872536643341E-8</v>
      </c>
      <c r="F14" s="726">
        <f>Input!J51</f>
        <v>0</v>
      </c>
    </row>
    <row r="15" spans="1:8" x14ac:dyDescent="0.25">
      <c r="A15" s="646" t="s">
        <v>19</v>
      </c>
      <c r="B15" s="726">
        <f>Input!F53</f>
        <v>3.1669897411736203E-2</v>
      </c>
      <c r="C15" s="726">
        <f>Input!G53</f>
        <v>0.19368161849643251</v>
      </c>
      <c r="D15" s="726">
        <f>Input!H53</f>
        <v>5.0000000000000044E-2</v>
      </c>
      <c r="E15" s="726">
        <f>Input!I53</f>
        <v>-4.7619047619047672E-2</v>
      </c>
      <c r="F15" s="726">
        <f>Input!J53</f>
        <v>0</v>
      </c>
    </row>
    <row r="16" spans="1:8" x14ac:dyDescent="0.25">
      <c r="A16" s="646" t="s">
        <v>20</v>
      </c>
      <c r="B16" s="726">
        <f>Input!F55</f>
        <v>0</v>
      </c>
      <c r="C16" s="726">
        <f>Input!G55</f>
        <v>0</v>
      </c>
      <c r="D16" s="726">
        <f>Input!H55</f>
        <v>0</v>
      </c>
      <c r="E16" s="726">
        <f>Input!I55</f>
        <v>0</v>
      </c>
      <c r="F16" s="726">
        <f>Input!J55</f>
        <v>0</v>
      </c>
    </row>
    <row r="17" spans="1:6" x14ac:dyDescent="0.25">
      <c r="A17" s="283" t="s">
        <v>21</v>
      </c>
      <c r="B17" s="726">
        <f>Input!F57</f>
        <v>0</v>
      </c>
      <c r="C17" s="726">
        <f>Input!G57</f>
        <v>-0.73092140719546772</v>
      </c>
      <c r="D17" s="726">
        <f>Input!H57</f>
        <v>0</v>
      </c>
      <c r="E17" s="726">
        <f>Input!I57</f>
        <v>0</v>
      </c>
      <c r="F17" s="726">
        <f>Input!J57</f>
        <v>0</v>
      </c>
    </row>
    <row r="18" spans="1:6" x14ac:dyDescent="0.25">
      <c r="A18" s="646" t="s">
        <v>22</v>
      </c>
      <c r="B18" s="726">
        <f>Input!F59</f>
        <v>0</v>
      </c>
      <c r="C18" s="726">
        <f>Input!G59</f>
        <v>0</v>
      </c>
      <c r="D18" s="726">
        <f>Input!H59</f>
        <v>0</v>
      </c>
      <c r="E18" s="726">
        <f>Input!I59</f>
        <v>0</v>
      </c>
      <c r="F18" s="726">
        <f>Input!J59</f>
        <v>0</v>
      </c>
    </row>
    <row r="19" spans="1:6" x14ac:dyDescent="0.25">
      <c r="A19" s="282" t="s">
        <v>23</v>
      </c>
      <c r="B19" s="726">
        <f>Input!F62</f>
        <v>0.48436527416478214</v>
      </c>
      <c r="C19" s="726">
        <f>Input!G62</f>
        <v>-0.19642892788719823</v>
      </c>
      <c r="D19" s="726">
        <f>Input!H62</f>
        <v>0.11272052953567835</v>
      </c>
      <c r="E19" s="726">
        <f>Input!I62</f>
        <v>6.0753722438744884E-2</v>
      </c>
      <c r="F19" s="726">
        <f>Input!J62</f>
        <v>2.1522874660527158E-2</v>
      </c>
    </row>
    <row r="20" spans="1:6" x14ac:dyDescent="0.25">
      <c r="A20" s="705" t="s">
        <v>24</v>
      </c>
      <c r="B20" s="726">
        <f>Input!F64</f>
        <v>0.94739362310385911</v>
      </c>
      <c r="C20" s="726">
        <f>Input!G64</f>
        <v>-0.40997418364675742</v>
      </c>
      <c r="D20" s="726">
        <f>Input!H64</f>
        <v>4.8429671909785865E-2</v>
      </c>
      <c r="E20" s="726">
        <f>Input!I64</f>
        <v>6.0753722438744884E-2</v>
      </c>
      <c r="F20" s="726">
        <f>Input!J64</f>
        <v>2.152287466052738E-2</v>
      </c>
    </row>
    <row r="21" spans="1:6" x14ac:dyDescent="0.25">
      <c r="A21" s="708" t="s">
        <v>25</v>
      </c>
      <c r="B21" s="726">
        <f>Input!F66</f>
        <v>0.94739362310385911</v>
      </c>
      <c r="C21" s="726">
        <f>Input!G66</f>
        <v>-0.40997418364675742</v>
      </c>
      <c r="D21" s="726">
        <f>Input!H66</f>
        <v>4.8429671909785865E-2</v>
      </c>
      <c r="E21" s="726">
        <f>Input!I66</f>
        <v>6.0753722438744884E-2</v>
      </c>
      <c r="F21" s="726">
        <f>Input!J66</f>
        <v>2.152287466052738E-2</v>
      </c>
    </row>
    <row r="22" spans="1:6" x14ac:dyDescent="0.25">
      <c r="A22" s="283" t="s">
        <v>26</v>
      </c>
      <c r="B22" s="726">
        <f>Input!F68</f>
        <v>0</v>
      </c>
      <c r="C22" s="726">
        <f>Input!G68</f>
        <v>0</v>
      </c>
      <c r="D22" s="726">
        <f>Input!H68</f>
        <v>0</v>
      </c>
      <c r="E22" s="726">
        <f>Input!I68</f>
        <v>0</v>
      </c>
      <c r="F22" s="726">
        <f>Input!J68</f>
        <v>0</v>
      </c>
    </row>
    <row r="23" spans="1:6" x14ac:dyDescent="0.25">
      <c r="A23" s="653" t="s">
        <v>27</v>
      </c>
      <c r="B23" s="726">
        <f>Input!F71</f>
        <v>0.33174952276744341</v>
      </c>
      <c r="C23" s="726">
        <f>Input!G71</f>
        <v>-9.3505818343594838E-2</v>
      </c>
      <c r="D23" s="726">
        <f>Input!H71</f>
        <v>0.13288924244870226</v>
      </c>
      <c r="E23" s="726">
        <f>Input!I71</f>
        <v>6.0753722438744662E-2</v>
      </c>
      <c r="F23" s="726">
        <f>Input!J71</f>
        <v>2.1522874660527158E-2</v>
      </c>
    </row>
    <row r="24" spans="1:6" x14ac:dyDescent="0.25">
      <c r="A24" s="283" t="s">
        <v>28</v>
      </c>
      <c r="B24" s="726">
        <f>Input!F73</f>
        <v>0</v>
      </c>
      <c r="C24" s="726">
        <f>Input!G73</f>
        <v>0</v>
      </c>
      <c r="D24" s="726">
        <f>Input!H73</f>
        <v>0</v>
      </c>
      <c r="E24" s="726">
        <f>Input!I73</f>
        <v>0</v>
      </c>
      <c r="F24" s="726">
        <f>Input!J73</f>
        <v>0</v>
      </c>
    </row>
    <row r="25" spans="1:6" x14ac:dyDescent="0.25">
      <c r="A25" s="646" t="s">
        <v>29</v>
      </c>
      <c r="B25" s="726">
        <f>Input!F75</f>
        <v>0</v>
      </c>
      <c r="C25" s="726">
        <f>Input!G75</f>
        <v>0</v>
      </c>
      <c r="D25" s="726">
        <f>Input!H75</f>
        <v>0</v>
      </c>
      <c r="E25" s="726">
        <f>Input!I75</f>
        <v>0</v>
      </c>
      <c r="F25" s="726">
        <f>Input!J75</f>
        <v>0</v>
      </c>
    </row>
    <row r="26" spans="1:6" x14ac:dyDescent="0.25">
      <c r="A26" s="646" t="s">
        <v>30</v>
      </c>
      <c r="B26" s="726">
        <f>Input!F77</f>
        <v>0</v>
      </c>
      <c r="C26" s="726">
        <f>Input!G77</f>
        <v>0</v>
      </c>
      <c r="D26" s="726">
        <f>Input!H77</f>
        <v>0</v>
      </c>
      <c r="E26" s="726">
        <f>Input!I77</f>
        <v>0</v>
      </c>
      <c r="F26" s="726">
        <f>Input!J77</f>
        <v>0</v>
      </c>
    </row>
    <row r="27" spans="1:6" x14ac:dyDescent="0.25">
      <c r="A27" s="653" t="s">
        <v>31</v>
      </c>
      <c r="B27" s="726">
        <f>Input!F82</f>
        <v>0.33174952276744341</v>
      </c>
      <c r="C27" s="726">
        <f>Input!G82</f>
        <v>-9.3505818343594838E-2</v>
      </c>
      <c r="D27" s="726">
        <f>Input!H82</f>
        <v>0.13288924244870226</v>
      </c>
      <c r="E27" s="726">
        <f>Input!I82</f>
        <v>6.0753722438744662E-2</v>
      </c>
      <c r="F27" s="726">
        <f>Input!J82</f>
        <v>2.1522874660527158E-2</v>
      </c>
    </row>
    <row r="28" spans="1:6" x14ac:dyDescent="0.25">
      <c r="A28" s="283" t="s">
        <v>32</v>
      </c>
      <c r="B28" s="726">
        <f>Input!F84</f>
        <v>0</v>
      </c>
      <c r="C28" s="726">
        <f>Input!G84</f>
        <v>0</v>
      </c>
      <c r="D28" s="726">
        <f>Input!H84</f>
        <v>0</v>
      </c>
      <c r="E28" s="726">
        <f>Input!I84</f>
        <v>0</v>
      </c>
      <c r="F28" s="726">
        <f>Input!J84</f>
        <v>0</v>
      </c>
    </row>
    <row r="29" spans="1:6" x14ac:dyDescent="0.25">
      <c r="A29" s="646" t="s">
        <v>33</v>
      </c>
      <c r="B29" s="726">
        <f>Input!F86</f>
        <v>2.2332105824483195E-2</v>
      </c>
      <c r="C29" s="726">
        <f>Input!G86</f>
        <v>0.33174951850813605</v>
      </c>
      <c r="D29" s="726">
        <f>Input!H86</f>
        <v>-1</v>
      </c>
      <c r="E29" s="726">
        <f>Input!I86</f>
        <v>0</v>
      </c>
      <c r="F29" s="726">
        <f>Input!J86</f>
        <v>-1</v>
      </c>
    </row>
    <row r="30" spans="1:6" x14ac:dyDescent="0.25">
      <c r="A30" s="283" t="s">
        <v>34</v>
      </c>
      <c r="B30" s="726">
        <f>Input!F88</f>
        <v>2.2332105268968228E-2</v>
      </c>
      <c r="C30" s="726">
        <f>Input!G88</f>
        <v>0.33174952276744429</v>
      </c>
      <c r="D30" s="726">
        <f>Input!H88</f>
        <v>-9.3505818343593727E-2</v>
      </c>
      <c r="E30" s="726">
        <f>Input!I88</f>
        <v>0.13288924244868539</v>
      </c>
      <c r="F30" s="726">
        <f>Input!J88</f>
        <v>6.0753722438776636E-2</v>
      </c>
    </row>
    <row r="31" spans="1:6" x14ac:dyDescent="0.25">
      <c r="A31" s="653" t="s">
        <v>35</v>
      </c>
      <c r="B31" s="726">
        <f>Input!F91</f>
        <v>14.187022929168602</v>
      </c>
      <c r="C31" s="726">
        <f>Input!G91</f>
        <v>-1.3753624897203394</v>
      </c>
      <c r="D31" s="726">
        <f>Input!H91</f>
        <v>-11.013367338704779</v>
      </c>
      <c r="E31" s="726">
        <f>Input!I91</f>
        <v>-0.16631956309168638</v>
      </c>
      <c r="F31" s="726">
        <f>Input!J91</f>
        <v>0.28604087622939978</v>
      </c>
    </row>
    <row r="32" spans="1:6" x14ac:dyDescent="0.25">
      <c r="A32" s="283" t="s">
        <v>38</v>
      </c>
      <c r="B32" s="726">
        <f>Input!F99</f>
        <v>-5.6131432316148588E-2</v>
      </c>
      <c r="C32" s="726">
        <f>Input!G99</f>
        <v>2.3729661319109474</v>
      </c>
      <c r="D32" s="726">
        <f>Input!H99</f>
        <v>0</v>
      </c>
      <c r="E32" s="726">
        <f>Input!I99</f>
        <v>0.1100000000000001</v>
      </c>
      <c r="F32" s="726">
        <f>Input!J99</f>
        <v>0.19999999999999996</v>
      </c>
    </row>
    <row r="33" spans="1:6" x14ac:dyDescent="0.25">
      <c r="A33" s="646" t="s">
        <v>39</v>
      </c>
      <c r="B33" s="726">
        <f>Input!F101</f>
        <v>1.7231308483959915</v>
      </c>
      <c r="C33" s="726">
        <f>Input!G101</f>
        <v>-0.20617116675361502</v>
      </c>
      <c r="D33" s="726">
        <f>Input!H101</f>
        <v>0</v>
      </c>
      <c r="E33" s="726">
        <f>Input!I101</f>
        <v>0</v>
      </c>
      <c r="F33" s="726">
        <f>Input!J101</f>
        <v>0</v>
      </c>
    </row>
    <row r="34" spans="1:6" x14ac:dyDescent="0.25">
      <c r="A34" s="283" t="s">
        <v>40</v>
      </c>
      <c r="B34" s="726">
        <f>Input!F103</f>
        <v>0</v>
      </c>
      <c r="C34" s="726">
        <f>Input!G103</f>
        <v>0</v>
      </c>
      <c r="D34" s="726">
        <f>Input!H103</f>
        <v>0</v>
      </c>
      <c r="E34" s="726">
        <f>Input!I103</f>
        <v>0</v>
      </c>
      <c r="F34" s="726">
        <f>Input!J103</f>
        <v>0</v>
      </c>
    </row>
    <row r="35" spans="1:6" x14ac:dyDescent="0.25">
      <c r="A35" s="707" t="s">
        <v>41</v>
      </c>
      <c r="B35" s="726">
        <f>Input!F106</f>
        <v>0.82623908971665605</v>
      </c>
      <c r="C35" s="726">
        <f>Input!G106</f>
        <v>0.35766966291967184</v>
      </c>
      <c r="D35" s="726">
        <f>Input!H106</f>
        <v>0.45475788717846366</v>
      </c>
      <c r="E35" s="726">
        <f>Input!I106</f>
        <v>0.10000000000000009</v>
      </c>
      <c r="F35" s="726">
        <f>Input!J106</f>
        <v>0.24299999999999988</v>
      </c>
    </row>
    <row r="36" spans="1:6" x14ac:dyDescent="0.25">
      <c r="A36" s="283" t="s">
        <v>42</v>
      </c>
      <c r="B36" s="726">
        <f>Input!F108</f>
        <v>0</v>
      </c>
      <c r="C36" s="726">
        <f>Input!G108</f>
        <v>0</v>
      </c>
      <c r="D36" s="726">
        <f>Input!H108</f>
        <v>0</v>
      </c>
      <c r="E36" s="726">
        <f>Input!I108</f>
        <v>0.10000000000000009</v>
      </c>
      <c r="F36" s="726">
        <f>Input!J108</f>
        <v>0.24299999999999988</v>
      </c>
    </row>
    <row r="37" spans="1:6" x14ac:dyDescent="0.25">
      <c r="A37" s="714" t="s">
        <v>43</v>
      </c>
      <c r="B37" s="726">
        <f>Input!F111</f>
        <v>0.82623908971665605</v>
      </c>
      <c r="C37" s="726">
        <f>Input!G111</f>
        <v>0.35766966291967184</v>
      </c>
      <c r="D37" s="726">
        <f>Input!H111</f>
        <v>0.30928209846061727</v>
      </c>
      <c r="E37" s="726">
        <f>Input!I111</f>
        <v>0.10000000000000009</v>
      </c>
      <c r="F37" s="726">
        <f>Input!J111</f>
        <v>0.24299999999999988</v>
      </c>
    </row>
    <row r="38" spans="1:6" x14ac:dyDescent="0.25">
      <c r="A38" s="708" t="s">
        <v>44</v>
      </c>
      <c r="B38" s="726">
        <f>Input!F114</f>
        <v>1.5092481316832052E-2</v>
      </c>
      <c r="C38" s="726">
        <f>Input!G114</f>
        <v>-9.1532934481985073E-2</v>
      </c>
      <c r="D38" s="726">
        <f>Input!H114</f>
        <v>0.11838163505895594</v>
      </c>
      <c r="E38" s="726">
        <f>Input!I114</f>
        <v>0.25000000000000022</v>
      </c>
      <c r="F38" s="726">
        <f>Input!J114</f>
        <v>0.24199999999999999</v>
      </c>
    </row>
    <row r="39" spans="1:6" x14ac:dyDescent="0.25">
      <c r="A39" s="283" t="s">
        <v>45</v>
      </c>
      <c r="B39" s="726">
        <f>Input!F116</f>
        <v>-0.22128913508517234</v>
      </c>
      <c r="C39" s="726">
        <f>Input!G116</f>
        <v>-0.16014163899741485</v>
      </c>
      <c r="D39" s="726">
        <f>Input!H116</f>
        <v>0.28152614324659075</v>
      </c>
      <c r="E39" s="726">
        <f>Input!I116</f>
        <v>0.10000000000000009</v>
      </c>
      <c r="F39" s="726">
        <f>Input!J116</f>
        <v>0.14999999999999991</v>
      </c>
    </row>
    <row r="40" spans="1:6" x14ac:dyDescent="0.25">
      <c r="A40" s="646" t="s">
        <v>46</v>
      </c>
      <c r="B40" s="726">
        <f>Input!F118</f>
        <v>0.13527056697583317</v>
      </c>
      <c r="C40" s="726">
        <f>Input!G118</f>
        <v>-6.9950899068950689E-2</v>
      </c>
      <c r="D40" s="726">
        <f>Input!H118</f>
        <v>7.4631024587058281E-2</v>
      </c>
      <c r="E40" s="726">
        <f>Input!I118</f>
        <v>0.10000000000000009</v>
      </c>
      <c r="F40" s="726">
        <f>Input!J118</f>
        <v>0.14999999999999991</v>
      </c>
    </row>
    <row r="41" spans="1:6" x14ac:dyDescent="0.25">
      <c r="A41" s="483" t="s">
        <v>371</v>
      </c>
      <c r="B41" s="726">
        <f>Input!F120</f>
        <v>0.83438854555940267</v>
      </c>
      <c r="C41" s="726">
        <f>Input!G120</f>
        <v>0.17405301833677145</v>
      </c>
      <c r="D41" s="726">
        <f>Input!H120</f>
        <v>1.7597266548118551E-2</v>
      </c>
      <c r="E41" s="726">
        <f>Input!I120</f>
        <v>0.1611111111111112</v>
      </c>
      <c r="F41" s="726">
        <f>Input!J120</f>
        <v>0.14999999999999991</v>
      </c>
    </row>
    <row r="42" spans="1:6" x14ac:dyDescent="0.25">
      <c r="A42" s="646" t="s">
        <v>47</v>
      </c>
      <c r="B42" s="726">
        <f>Input!F122</f>
        <v>0</v>
      </c>
      <c r="C42" s="726">
        <f>Input!G122</f>
        <v>0</v>
      </c>
      <c r="D42" s="726">
        <f>Input!H122</f>
        <v>0</v>
      </c>
      <c r="E42" s="726">
        <f>Input!I122</f>
        <v>0</v>
      </c>
      <c r="F42" s="726">
        <f>Input!J122</f>
        <v>0</v>
      </c>
    </row>
    <row r="43" spans="1:6" x14ac:dyDescent="0.25">
      <c r="A43" s="719" t="s">
        <v>48</v>
      </c>
      <c r="B43" s="726">
        <f>Input!F127</f>
        <v>0.22319844967493307</v>
      </c>
      <c r="C43" s="726">
        <f>Input!G127</f>
        <v>1.6303664490205705E-2</v>
      </c>
      <c r="D43" s="726">
        <f>Input!H127</f>
        <v>7.8567853752400163E-2</v>
      </c>
      <c r="E43" s="726">
        <f>Input!I127</f>
        <v>0.17062727329951977</v>
      </c>
      <c r="F43" s="726">
        <f>Input!J127</f>
        <v>0.17779886507362086</v>
      </c>
    </row>
    <row r="44" spans="1:6" x14ac:dyDescent="0.25">
      <c r="A44" s="646" t="s">
        <v>49</v>
      </c>
      <c r="B44" s="726">
        <f>Input!F130</f>
        <v>-0.48322250521704158</v>
      </c>
      <c r="C44" s="726">
        <f>Input!G130</f>
        <v>-0.17901141446717006</v>
      </c>
      <c r="D44" s="726">
        <f>Input!H130</f>
        <v>0.42056375875563412</v>
      </c>
      <c r="E44" s="726">
        <f>Input!I130</f>
        <v>0.46666666666666701</v>
      </c>
      <c r="F44" s="726">
        <f>Input!J130</f>
        <v>0.72499999999999964</v>
      </c>
    </row>
    <row r="45" spans="1:6" x14ac:dyDescent="0.25">
      <c r="A45" s="483" t="s">
        <v>50</v>
      </c>
      <c r="B45" s="726">
        <f>Input!F132</f>
        <v>11.256293218902888</v>
      </c>
      <c r="C45" s="726">
        <f>Input!G132</f>
        <v>-0.58550335510602758</v>
      </c>
      <c r="D45" s="726">
        <f>Input!H132</f>
        <v>0</v>
      </c>
      <c r="E45" s="726">
        <f>Input!I132</f>
        <v>0</v>
      </c>
      <c r="F45" s="726">
        <f>Input!J132</f>
        <v>0</v>
      </c>
    </row>
    <row r="46" spans="1:6" x14ac:dyDescent="0.25">
      <c r="A46" s="707" t="s">
        <v>51</v>
      </c>
      <c r="B46" s="726">
        <f>Input!F134</f>
        <v>0</v>
      </c>
      <c r="C46" s="726">
        <f>Input!G134</f>
        <v>0</v>
      </c>
      <c r="D46" s="726">
        <f>Input!H134</f>
        <v>0</v>
      </c>
      <c r="E46" s="726">
        <f>Input!I134</f>
        <v>0</v>
      </c>
      <c r="F46" s="726">
        <f>Input!J134</f>
        <v>0</v>
      </c>
    </row>
    <row r="47" spans="1:6" x14ac:dyDescent="0.25">
      <c r="A47" s="708" t="s">
        <v>52</v>
      </c>
      <c r="B47" s="726">
        <f>Input!F136</f>
        <v>0.29063959076153312</v>
      </c>
      <c r="C47" s="726">
        <f>Input!G136</f>
        <v>0.22688901541235817</v>
      </c>
      <c r="D47" s="726">
        <f>Input!H136</f>
        <v>0</v>
      </c>
      <c r="E47" s="726">
        <f>Input!I136</f>
        <v>0</v>
      </c>
      <c r="F47" s="726">
        <f>Input!J136</f>
        <v>0</v>
      </c>
    </row>
    <row r="48" spans="1:6" x14ac:dyDescent="0.25">
      <c r="A48" s="711" t="s">
        <v>53</v>
      </c>
      <c r="B48" s="726">
        <f>Input!F139</f>
        <v>0.78782562665440437</v>
      </c>
      <c r="C48" s="726">
        <f>Input!G139</f>
        <v>0.17762944192198526</v>
      </c>
      <c r="D48" s="726">
        <f>Input!H139</f>
        <v>2.764804858545733E-2</v>
      </c>
      <c r="E48" s="726">
        <f>Input!I139</f>
        <v>7.4218782267754246E-2</v>
      </c>
      <c r="F48" s="726">
        <f>Input!J139</f>
        <v>0.12228325654672134</v>
      </c>
    </row>
    <row r="49" spans="1:6" x14ac:dyDescent="0.25">
      <c r="A49" s="646" t="s">
        <v>54</v>
      </c>
      <c r="B49" s="726">
        <f>Input!F142</f>
        <v>8.3713707757009814E-2</v>
      </c>
      <c r="C49" s="726">
        <f>Input!G142</f>
        <v>1.4802373661499724E-2</v>
      </c>
      <c r="D49" s="726">
        <f>Input!H142</f>
        <v>5.0000000000000044E-2</v>
      </c>
      <c r="E49" s="726">
        <f>Input!I142</f>
        <v>5.0000000000000044E-2</v>
      </c>
      <c r="F49" s="726">
        <f>Input!J142</f>
        <v>9.800732257611533E-2</v>
      </c>
    </row>
    <row r="50" spans="1:6" x14ac:dyDescent="0.25">
      <c r="A50" s="709" t="s">
        <v>55</v>
      </c>
      <c r="B50" s="726">
        <f>Input!F144</f>
        <v>0.37555014289245681</v>
      </c>
      <c r="C50" s="726">
        <f>Input!G144</f>
        <v>2.6249095382281373E-2</v>
      </c>
      <c r="D50" s="726">
        <f>Input!H144</f>
        <v>0.10000000000000009</v>
      </c>
      <c r="E50" s="726">
        <f>Input!I144</f>
        <v>0.19999999999999996</v>
      </c>
      <c r="F50" s="726">
        <f>Input!J144</f>
        <v>0.24675207781238107</v>
      </c>
    </row>
    <row r="51" spans="1:6" x14ac:dyDescent="0.25">
      <c r="A51" s="707" t="s">
        <v>56</v>
      </c>
      <c r="B51" s="726">
        <f>Input!F146</f>
        <v>0.29779131051748076</v>
      </c>
      <c r="C51" s="726">
        <f>Input!G146</f>
        <v>9.5778799091044808E-2</v>
      </c>
      <c r="D51" s="726">
        <f>Input!H146</f>
        <v>0.14999999999999991</v>
      </c>
      <c r="E51" s="726">
        <f>Input!I146</f>
        <v>0.19999999999999996</v>
      </c>
      <c r="F51" s="726">
        <f>Input!J146</f>
        <v>0.29226846306417364</v>
      </c>
    </row>
    <row r="52" spans="1:6" x14ac:dyDescent="0.25">
      <c r="A52" s="283" t="s">
        <v>57</v>
      </c>
      <c r="B52" s="726">
        <f>Input!F148</f>
        <v>-0.86470814025062848</v>
      </c>
      <c r="C52" s="726">
        <f>Input!G148</f>
        <v>0.43206477694560097</v>
      </c>
      <c r="D52" s="726">
        <f>Input!H148</f>
        <v>1.5233808903153951</v>
      </c>
      <c r="E52" s="726">
        <f>Input!I148</f>
        <v>0</v>
      </c>
      <c r="F52" s="726">
        <f>Input!J148</f>
        <v>-0.5</v>
      </c>
    </row>
    <row r="53" spans="1:6" x14ac:dyDescent="0.25">
      <c r="A53" s="710" t="s">
        <v>58</v>
      </c>
      <c r="B53" s="726">
        <f>Input!F150</f>
        <v>3.3538302206511439E-2</v>
      </c>
      <c r="C53" s="726">
        <f>Input!G150</f>
        <v>3.9809787822554954E-2</v>
      </c>
      <c r="D53" s="726">
        <f>Input!H150</f>
        <v>0.16086693578747813</v>
      </c>
      <c r="E53" s="726">
        <f>Input!I150</f>
        <v>0.1669754521408684</v>
      </c>
      <c r="F53" s="726">
        <f>Input!J150</f>
        <v>0.17255958617206724</v>
      </c>
    </row>
    <row r="54" spans="1:6" x14ac:dyDescent="0.25">
      <c r="A54" s="709" t="s">
        <v>59</v>
      </c>
      <c r="B54" s="726">
        <f>Input!F152</f>
        <v>6.0045989749858197E-2</v>
      </c>
      <c r="C54" s="726">
        <f>Input!G152</f>
        <v>9.1383073459803121E-2</v>
      </c>
      <c r="D54" s="726">
        <f>Input!H152</f>
        <v>0.10859031756852322</v>
      </c>
      <c r="E54" s="726">
        <f>Input!I152</f>
        <v>0.11235845930376609</v>
      </c>
      <c r="F54" s="726">
        <f>Input!J152</f>
        <v>0.11587572038131189</v>
      </c>
    </row>
    <row r="55" spans="1:6" x14ac:dyDescent="0.25">
      <c r="A55" s="714" t="s">
        <v>60</v>
      </c>
      <c r="B55" s="726">
        <f>Input!F155</f>
        <v>4.8174677110823794E-3</v>
      </c>
      <c r="C55" s="726">
        <f>Input!G155</f>
        <v>-1.9140718986448646E-2</v>
      </c>
      <c r="D55" s="726">
        <f>Input!H155</f>
        <v>0.22735454798011889</v>
      </c>
      <c r="E55" s="726">
        <f>Input!I155</f>
        <v>0.22971798985897696</v>
      </c>
      <c r="F55" s="726">
        <f>Input!J155</f>
        <v>0.23146198640191651</v>
      </c>
    </row>
    <row r="56" spans="1:6" x14ac:dyDescent="0.25">
      <c r="A56" s="283" t="s">
        <v>61</v>
      </c>
      <c r="B56" s="726">
        <f>Input!F158</f>
        <v>0</v>
      </c>
      <c r="C56" s="726">
        <f>Input!G158</f>
        <v>0</v>
      </c>
      <c r="D56" s="726">
        <f>Input!H158</f>
        <v>0</v>
      </c>
      <c r="E56" s="726">
        <f>Input!I158</f>
        <v>0</v>
      </c>
      <c r="F56" s="726">
        <f>Input!J158</f>
        <v>0</v>
      </c>
    </row>
    <row r="57" spans="1:6" x14ac:dyDescent="0.25">
      <c r="A57" s="707" t="s">
        <v>62</v>
      </c>
      <c r="B57" s="726">
        <f>Input!F160</f>
        <v>0</v>
      </c>
      <c r="C57" s="726">
        <f>Input!G160</f>
        <v>0</v>
      </c>
      <c r="D57" s="726">
        <f>Input!H160</f>
        <v>0</v>
      </c>
      <c r="E57" s="726">
        <f>Input!I160</f>
        <v>0</v>
      </c>
      <c r="F57" s="726">
        <f>Input!J160</f>
        <v>0</v>
      </c>
    </row>
    <row r="58" spans="1:6" x14ac:dyDescent="0.25">
      <c r="A58" s="721" t="s">
        <v>1782</v>
      </c>
      <c r="B58" s="726">
        <f>Input!F162</f>
        <v>-0.77497349201195365</v>
      </c>
      <c r="C58" s="726">
        <f>Input!G162</f>
        <v>14.347161738792218</v>
      </c>
      <c r="D58" s="726">
        <f>Input!H162</f>
        <v>0</v>
      </c>
      <c r="E58" s="726">
        <f>Input!I162</f>
        <v>0</v>
      </c>
      <c r="F58" s="726">
        <f>Input!J162</f>
        <v>0</v>
      </c>
    </row>
    <row r="59" spans="1:6" x14ac:dyDescent="0.25">
      <c r="A59" s="646" t="s">
        <v>63</v>
      </c>
      <c r="B59" s="726">
        <f>Input!F164</f>
        <v>-0.63644866372652009</v>
      </c>
      <c r="C59" s="726">
        <f>Input!G164</f>
        <v>1.0671115131753957</v>
      </c>
      <c r="D59" s="726">
        <f>Input!H164</f>
        <v>-1</v>
      </c>
      <c r="E59" s="726">
        <f>Input!I164</f>
        <v>0</v>
      </c>
      <c r="F59" s="726">
        <f>Input!J164</f>
        <v>0</v>
      </c>
    </row>
    <row r="60" spans="1:6" x14ac:dyDescent="0.25">
      <c r="A60" s="706" t="s">
        <v>1775</v>
      </c>
      <c r="B60" s="726">
        <f>Input!F166</f>
        <v>1.2642626410016078</v>
      </c>
      <c r="C60" s="726">
        <f>Input!G166</f>
        <v>-0.10130823743733919</v>
      </c>
      <c r="D60" s="726">
        <f>Input!H166</f>
        <v>-0.47186632098004655</v>
      </c>
      <c r="E60" s="726">
        <f>Input!I166</f>
        <v>0</v>
      </c>
      <c r="F60" s="726">
        <f>Input!J166</f>
        <v>0</v>
      </c>
    </row>
    <row r="61" spans="1:6" x14ac:dyDescent="0.25">
      <c r="A61" s="283" t="s">
        <v>64</v>
      </c>
      <c r="B61" s="726">
        <f>Input!F169</f>
        <v>0</v>
      </c>
      <c r="C61" s="726">
        <f>Input!G169</f>
        <v>0</v>
      </c>
      <c r="D61" s="726">
        <f>Input!H169</f>
        <v>0</v>
      </c>
      <c r="E61" s="726">
        <f>Input!I169</f>
        <v>0</v>
      </c>
      <c r="F61" s="726">
        <f>Input!J169</f>
        <v>0</v>
      </c>
    </row>
    <row r="62" spans="1:6" x14ac:dyDescent="0.25">
      <c r="A62" s="646" t="s">
        <v>65</v>
      </c>
      <c r="B62" s="726">
        <f>Input!F171</f>
        <v>0</v>
      </c>
      <c r="C62" s="726">
        <f>Input!G171</f>
        <v>0</v>
      </c>
      <c r="D62" s="726">
        <f>Input!H171</f>
        <v>0</v>
      </c>
      <c r="E62" s="726">
        <f>Input!I171</f>
        <v>0</v>
      </c>
      <c r="F62" s="726">
        <f>Input!J171</f>
        <v>0</v>
      </c>
    </row>
    <row r="63" spans="1:6" x14ac:dyDescent="0.25">
      <c r="A63" s="283" t="s">
        <v>66</v>
      </c>
      <c r="B63" s="726">
        <f>Input!F173</f>
        <v>0</v>
      </c>
      <c r="C63" s="726">
        <f>Input!G173</f>
        <v>0</v>
      </c>
      <c r="D63" s="726">
        <f>Input!H173</f>
        <v>0</v>
      </c>
      <c r="E63" s="726">
        <f>Input!I173</f>
        <v>0</v>
      </c>
      <c r="F63" s="726">
        <f>Input!J173</f>
        <v>0</v>
      </c>
    </row>
    <row r="64" spans="1:6" x14ac:dyDescent="0.25">
      <c r="A64" s="712" t="s">
        <v>67</v>
      </c>
      <c r="B64" s="726">
        <f>Input!F176</f>
        <v>0</v>
      </c>
      <c r="C64" s="726">
        <f>Input!G176</f>
        <v>0</v>
      </c>
      <c r="D64" s="726">
        <f>Input!H176</f>
        <v>0</v>
      </c>
      <c r="E64" s="726">
        <f>Input!I176</f>
        <v>0</v>
      </c>
      <c r="F64" s="726">
        <f>Input!J176</f>
        <v>0</v>
      </c>
    </row>
    <row r="65" spans="1:6" x14ac:dyDescent="0.25">
      <c r="A65" s="711" t="s">
        <v>68</v>
      </c>
      <c r="B65" s="726">
        <f>Input!F179</f>
        <v>-9.512379212132549E-3</v>
      </c>
      <c r="C65" s="726">
        <f>Input!G179</f>
        <v>4.3429750488175101E-2</v>
      </c>
      <c r="D65" s="726">
        <f>Input!H179</f>
        <v>0.14529402767555077</v>
      </c>
      <c r="E65" s="726">
        <f>Input!I179</f>
        <v>0.21537147443803861</v>
      </c>
      <c r="F65" s="726">
        <f>Input!J179</f>
        <v>0.21956814730099117</v>
      </c>
    </row>
    <row r="66" spans="1:6" x14ac:dyDescent="0.25">
      <c r="A66" s="712" t="s">
        <v>69</v>
      </c>
      <c r="B66" s="726">
        <f>Input!F182</f>
        <v>0.44700642403993895</v>
      </c>
      <c r="C66" s="726">
        <f>Input!G182</f>
        <v>0.13836389052649056</v>
      </c>
      <c r="D66" s="726">
        <f>Input!H182</f>
        <v>5.9199502429395867E-2</v>
      </c>
      <c r="E66" s="726">
        <f>Input!I182</f>
        <v>0.11515150945523689</v>
      </c>
      <c r="F66" s="726">
        <f>Input!J182</f>
        <v>0.15303020877759943</v>
      </c>
    </row>
    <row r="67" spans="1:6" x14ac:dyDescent="0.25">
      <c r="A67" s="708" t="s">
        <v>72</v>
      </c>
      <c r="B67" s="726">
        <f>Input!F192</f>
        <v>0</v>
      </c>
      <c r="C67" s="726">
        <f>Input!G192</f>
        <v>0</v>
      </c>
      <c r="D67" s="726">
        <f>Input!H192</f>
        <v>-1</v>
      </c>
      <c r="E67" s="726">
        <f>Input!I192</f>
        <v>0</v>
      </c>
      <c r="F67" s="726">
        <f>Input!J192</f>
        <v>0</v>
      </c>
    </row>
    <row r="68" spans="1:6" x14ac:dyDescent="0.25">
      <c r="A68" s="715" t="s">
        <v>73</v>
      </c>
      <c r="B68" s="726">
        <f>Input!F194</f>
        <v>2.9432477482679076E-2</v>
      </c>
      <c r="C68" s="726">
        <f>Input!G194</f>
        <v>-0.45284927401358843</v>
      </c>
      <c r="D68" s="726">
        <f>Input!H194</f>
        <v>4.2646872995878295</v>
      </c>
      <c r="E68" s="726">
        <f>Input!I194</f>
        <v>0</v>
      </c>
      <c r="F68" s="726">
        <f>Input!J194</f>
        <v>0</v>
      </c>
    </row>
    <row r="69" spans="1:6" x14ac:dyDescent="0.25">
      <c r="A69" s="646" t="s">
        <v>74</v>
      </c>
      <c r="B69" s="726">
        <f>Input!F196</f>
        <v>0</v>
      </c>
      <c r="C69" s="726">
        <f>Input!G196</f>
        <v>0</v>
      </c>
      <c r="D69" s="726">
        <f>Input!H196</f>
        <v>0</v>
      </c>
      <c r="E69" s="726">
        <f>Input!I196</f>
        <v>0</v>
      </c>
      <c r="F69" s="726">
        <f>Input!J196</f>
        <v>0</v>
      </c>
    </row>
    <row r="70" spans="1:6" x14ac:dyDescent="0.25">
      <c r="A70" s="647" t="s">
        <v>75</v>
      </c>
      <c r="B70" s="726">
        <f>Input!F198</f>
        <v>0</v>
      </c>
      <c r="C70" s="726">
        <f>Input!G198</f>
        <v>0</v>
      </c>
      <c r="D70" s="726">
        <f>Input!H198</f>
        <v>0</v>
      </c>
      <c r="E70" s="726">
        <f>Input!I198</f>
        <v>0</v>
      </c>
      <c r="F70" s="726">
        <f>Input!J198</f>
        <v>0</v>
      </c>
    </row>
    <row r="71" spans="1:6" x14ac:dyDescent="0.25">
      <c r="A71" s="706" t="s">
        <v>3096</v>
      </c>
      <c r="B71" s="726">
        <f>Input!F200</f>
        <v>0</v>
      </c>
      <c r="C71" s="726">
        <f>Input!G200</f>
        <v>0</v>
      </c>
      <c r="D71" s="726">
        <f>Input!H200</f>
        <v>0</v>
      </c>
      <c r="E71" s="726">
        <f>Input!I200</f>
        <v>0</v>
      </c>
      <c r="F71" s="726">
        <f>Input!J200</f>
        <v>0</v>
      </c>
    </row>
    <row r="72" spans="1:6" x14ac:dyDescent="0.25">
      <c r="A72" s="648" t="s">
        <v>391</v>
      </c>
      <c r="B72" s="726">
        <f>Input!F202</f>
        <v>-0.31000838853538237</v>
      </c>
      <c r="C72" s="726">
        <f>Input!G202</f>
        <v>0.23607069690664195</v>
      </c>
      <c r="D72" s="726">
        <f>Input!H202</f>
        <v>-0.25677048486200038</v>
      </c>
      <c r="E72" s="726">
        <f>Input!I202</f>
        <v>0.10000000000000009</v>
      </c>
      <c r="F72" s="726">
        <f>Input!J202</f>
        <v>0.14999999999999991</v>
      </c>
    </row>
    <row r="73" spans="1:6" x14ac:dyDescent="0.25">
      <c r="A73" s="706" t="s">
        <v>392</v>
      </c>
      <c r="B73" s="726">
        <f>Input!F204</f>
        <v>0.60714724412158905</v>
      </c>
      <c r="C73" s="726">
        <f>Input!G204</f>
        <v>0.79290637602314007</v>
      </c>
      <c r="D73" s="726">
        <f>Input!H204</f>
        <v>-0.30719473907418904</v>
      </c>
      <c r="E73" s="726">
        <f>Input!I204</f>
        <v>0.10000000000000009</v>
      </c>
      <c r="F73" s="726">
        <f>Input!J204</f>
        <v>0.14999999999999991</v>
      </c>
    </row>
    <row r="74" spans="1:6" x14ac:dyDescent="0.25">
      <c r="A74" s="647" t="s">
        <v>76</v>
      </c>
      <c r="B74" s="726">
        <f>Input!F206</f>
        <v>6.6240256257301233E-2</v>
      </c>
      <c r="C74" s="726">
        <f>Input!G206</f>
        <v>0.21543303341571574</v>
      </c>
      <c r="D74" s="726">
        <f>Input!H206</f>
        <v>1.108805043725436E-2</v>
      </c>
      <c r="E74" s="726">
        <f>Input!I206</f>
        <v>0.10000000000000009</v>
      </c>
      <c r="F74" s="726">
        <f>Input!J206</f>
        <v>0.12999999999999989</v>
      </c>
    </row>
    <row r="75" spans="1:6" x14ac:dyDescent="0.25">
      <c r="A75" s="646" t="s">
        <v>77</v>
      </c>
      <c r="B75" s="726">
        <f>Input!F208</f>
        <v>1.2030187966216603</v>
      </c>
      <c r="C75" s="726">
        <f>Input!G208</f>
        <v>0.19205856124934373</v>
      </c>
      <c r="D75" s="726">
        <f>Input!H208</f>
        <v>-0.23179800146584173</v>
      </c>
      <c r="E75" s="726">
        <f>Input!I208</f>
        <v>0.10000000000000009</v>
      </c>
      <c r="F75" s="726">
        <f>Input!J208</f>
        <v>0.14999999999999991</v>
      </c>
    </row>
    <row r="76" spans="1:6" x14ac:dyDescent="0.25">
      <c r="A76" s="718" t="s">
        <v>78</v>
      </c>
      <c r="B76" s="726">
        <f>Input!F210</f>
        <v>0.63930385349227659</v>
      </c>
      <c r="C76" s="726">
        <f>Input!G210</f>
        <v>7.5120106314940926E-5</v>
      </c>
      <c r="D76" s="726">
        <f>Input!H210</f>
        <v>-1</v>
      </c>
      <c r="E76" s="726">
        <f>Input!I210</f>
        <v>0</v>
      </c>
      <c r="F76" s="726">
        <f>Input!J210</f>
        <v>0</v>
      </c>
    </row>
    <row r="77" spans="1:6" x14ac:dyDescent="0.25">
      <c r="A77" s="647" t="s">
        <v>79</v>
      </c>
      <c r="B77" s="726">
        <f>Input!F212</f>
        <v>0</v>
      </c>
      <c r="C77" s="726">
        <f>Input!G212</f>
        <v>0</v>
      </c>
      <c r="D77" s="726">
        <f>Input!H212</f>
        <v>0</v>
      </c>
      <c r="E77" s="726">
        <f>Input!I212</f>
        <v>0</v>
      </c>
      <c r="F77" s="726">
        <f>Input!J212</f>
        <v>0</v>
      </c>
    </row>
    <row r="78" spans="1:6" x14ac:dyDescent="0.25">
      <c r="A78" s="646" t="s">
        <v>80</v>
      </c>
      <c r="B78" s="726">
        <f>Input!F214</f>
        <v>0</v>
      </c>
      <c r="C78" s="726">
        <f>Input!G214</f>
        <v>0</v>
      </c>
      <c r="D78" s="726">
        <f>Input!H214</f>
        <v>0</v>
      </c>
      <c r="E78" s="726">
        <f>Input!I214</f>
        <v>0</v>
      </c>
      <c r="F78" s="726">
        <f>Input!J214</f>
        <v>0</v>
      </c>
    </row>
    <row r="79" spans="1:6" x14ac:dyDescent="0.25">
      <c r="A79" s="647" t="s">
        <v>81</v>
      </c>
      <c r="B79" s="726">
        <f>Input!F216</f>
        <v>-0.41574540722158559</v>
      </c>
      <c r="C79" s="726">
        <f>Input!G216</f>
        <v>-0.11298886785383266</v>
      </c>
      <c r="D79" s="726">
        <f>Input!H216</f>
        <v>0</v>
      </c>
      <c r="E79" s="726">
        <f>Input!I216</f>
        <v>0</v>
      </c>
      <c r="F79" s="726">
        <f>Input!J216</f>
        <v>0</v>
      </c>
    </row>
    <row r="80" spans="1:6" x14ac:dyDescent="0.25">
      <c r="A80" s="725" t="s">
        <v>82</v>
      </c>
      <c r="B80" s="726">
        <f>Input!F219</f>
        <v>0.79762692808342672</v>
      </c>
      <c r="C80" s="726">
        <f>Input!G219</f>
        <v>0.2539262385656087</v>
      </c>
      <c r="D80" s="726">
        <f>Input!H219</f>
        <v>-0.28654993469552559</v>
      </c>
      <c r="E80" s="726">
        <f>Input!I219</f>
        <v>9.471236036978814E-2</v>
      </c>
      <c r="F80" s="726">
        <f>Input!J219</f>
        <v>0.15577296116727823</v>
      </c>
    </row>
    <row r="81" spans="1:6" x14ac:dyDescent="0.25">
      <c r="A81" s="713" t="s">
        <v>83</v>
      </c>
      <c r="B81" s="726">
        <f>Input!F222</f>
        <v>0</v>
      </c>
      <c r="C81" s="726">
        <f>Input!G222</f>
        <v>0</v>
      </c>
      <c r="D81" s="726">
        <f>Input!H222</f>
        <v>0</v>
      </c>
      <c r="E81" s="726">
        <f>Input!I222</f>
        <v>0</v>
      </c>
      <c r="F81" s="726">
        <f>Input!J222</f>
        <v>0</v>
      </c>
    </row>
    <row r="82" spans="1:6" x14ac:dyDescent="0.25">
      <c r="A82" s="651" t="s">
        <v>84</v>
      </c>
      <c r="B82" s="726">
        <f>Input!F224</f>
        <v>-0.65685505086651985</v>
      </c>
      <c r="C82" s="726">
        <f>Input!G224</f>
        <v>-1</v>
      </c>
      <c r="D82" s="726">
        <f>Input!H224</f>
        <v>0</v>
      </c>
      <c r="E82" s="726">
        <f>Input!I224</f>
        <v>-0.25</v>
      </c>
      <c r="F82" s="726">
        <f>Input!J224</f>
        <v>-0.33333333333333337</v>
      </c>
    </row>
    <row r="83" spans="1:6" x14ac:dyDescent="0.25">
      <c r="A83" s="646" t="s">
        <v>85</v>
      </c>
      <c r="B83" s="726">
        <f>Input!F226</f>
        <v>0</v>
      </c>
      <c r="C83" s="726">
        <f>Input!G226</f>
        <v>0</v>
      </c>
      <c r="D83" s="726">
        <f>Input!H226</f>
        <v>0</v>
      </c>
      <c r="E83" s="726">
        <f>Input!I226</f>
        <v>0</v>
      </c>
      <c r="F83" s="726">
        <f>Input!J226</f>
        <v>0</v>
      </c>
    </row>
    <row r="84" spans="1:6" x14ac:dyDescent="0.25">
      <c r="A84" s="723" t="s">
        <v>86</v>
      </c>
      <c r="B84" s="726">
        <f>Input!F229</f>
        <v>-0.65685505086651985</v>
      </c>
      <c r="C84" s="726">
        <f>Input!G229</f>
        <v>-1</v>
      </c>
      <c r="D84" s="726">
        <f>Input!H229</f>
        <v>0</v>
      </c>
      <c r="E84" s="726">
        <f>Input!I229</f>
        <v>-0.25</v>
      </c>
      <c r="F84" s="726">
        <f>Input!J229</f>
        <v>-0.33333333333333337</v>
      </c>
    </row>
    <row r="85" spans="1:6" x14ac:dyDescent="0.25">
      <c r="A85" s="650" t="s">
        <v>87</v>
      </c>
      <c r="B85" s="726">
        <f>Input!F232</f>
        <v>0</v>
      </c>
      <c r="C85" s="726">
        <f>Input!G232</f>
        <v>0</v>
      </c>
      <c r="D85" s="726">
        <f>Input!H232</f>
        <v>0</v>
      </c>
      <c r="E85" s="726">
        <f>Input!I232</f>
        <v>0</v>
      </c>
      <c r="F85" s="726">
        <f>Input!J232</f>
        <v>0</v>
      </c>
    </row>
    <row r="86" spans="1:6" x14ac:dyDescent="0.25">
      <c r="A86" s="707" t="s">
        <v>88</v>
      </c>
      <c r="B86" s="726">
        <f>Input!F234</f>
        <v>0.21100365953951261</v>
      </c>
      <c r="C86" s="726">
        <f>Input!G234</f>
        <v>0.12109730848861289</v>
      </c>
      <c r="D86" s="726">
        <f>Input!H234</f>
        <v>0</v>
      </c>
      <c r="E86" s="726">
        <f>Input!I234</f>
        <v>0</v>
      </c>
      <c r="F86" s="726">
        <f>Input!J234</f>
        <v>0</v>
      </c>
    </row>
    <row r="87" spans="1:6" x14ac:dyDescent="0.25">
      <c r="A87" s="650" t="s">
        <v>89</v>
      </c>
      <c r="B87" s="726">
        <f>Input!F236</f>
        <v>0.28698323454240748</v>
      </c>
      <c r="C87" s="726">
        <f>Input!G236</f>
        <v>6.8855031470826722E-2</v>
      </c>
      <c r="D87" s="726">
        <f>Input!H236</f>
        <v>0</v>
      </c>
      <c r="E87" s="726">
        <f>Input!I236</f>
        <v>0</v>
      </c>
      <c r="F87" s="726">
        <f>Input!J236</f>
        <v>0</v>
      </c>
    </row>
    <row r="88" spans="1:6" x14ac:dyDescent="0.25">
      <c r="A88" s="707" t="s">
        <v>90</v>
      </c>
      <c r="B88" s="726">
        <f>Input!F238</f>
        <v>1.8387114691143807</v>
      </c>
      <c r="C88" s="726">
        <f>Input!G238</f>
        <v>-0.18785947344050347</v>
      </c>
      <c r="D88" s="726">
        <f>Input!H238</f>
        <v>-1</v>
      </c>
      <c r="E88" s="726">
        <f>Input!I238</f>
        <v>0</v>
      </c>
      <c r="F88" s="726">
        <f>Input!J238</f>
        <v>0</v>
      </c>
    </row>
    <row r="89" spans="1:6" x14ac:dyDescent="0.25">
      <c r="A89" s="650" t="s">
        <v>91</v>
      </c>
      <c r="B89" s="726">
        <f>Input!F240</f>
        <v>0</v>
      </c>
      <c r="C89" s="726">
        <f>Input!G240</f>
        <v>0</v>
      </c>
      <c r="D89" s="726">
        <f>Input!H240</f>
        <v>0</v>
      </c>
      <c r="E89" s="726">
        <f>Input!I240</f>
        <v>0</v>
      </c>
      <c r="F89" s="726">
        <f>Input!J240</f>
        <v>0</v>
      </c>
    </row>
    <row r="90" spans="1:6" x14ac:dyDescent="0.25">
      <c r="A90" s="725" t="s">
        <v>92</v>
      </c>
      <c r="B90" s="726">
        <f>Input!F243</f>
        <v>0.76366379340252544</v>
      </c>
      <c r="C90" s="726">
        <f>Input!G243</f>
        <v>0.22156660362880354</v>
      </c>
      <c r="D90" s="726">
        <f>Input!H243</f>
        <v>-0.20267514249437968</v>
      </c>
      <c r="E90" s="726">
        <f>Input!I243</f>
        <v>4.8987514129186227E-2</v>
      </c>
      <c r="F90" s="726">
        <f>Input!J243</f>
        <v>0.10745532222709464</v>
      </c>
    </row>
    <row r="91" spans="1:6" x14ac:dyDescent="0.25">
      <c r="A91" s="650" t="s">
        <v>93</v>
      </c>
      <c r="B91" s="726">
        <f>Input!F246</f>
        <v>0</v>
      </c>
      <c r="C91" s="726">
        <f>Input!G246</f>
        <v>0</v>
      </c>
      <c r="D91" s="726">
        <f>Input!H246</f>
        <v>0</v>
      </c>
      <c r="E91" s="726">
        <f>Input!I246</f>
        <v>0</v>
      </c>
      <c r="F91" s="726">
        <f>Input!J246</f>
        <v>0</v>
      </c>
    </row>
    <row r="92" spans="1:6" x14ac:dyDescent="0.25">
      <c r="A92" s="707" t="s">
        <v>94</v>
      </c>
      <c r="B92" s="726">
        <f>Input!F248</f>
        <v>0</v>
      </c>
      <c r="C92" s="726">
        <f>Input!G248</f>
        <v>0</v>
      </c>
      <c r="D92" s="726">
        <f>Input!H248</f>
        <v>0</v>
      </c>
      <c r="E92" s="726">
        <f>Input!I248</f>
        <v>0</v>
      </c>
      <c r="F92" s="726">
        <f>Input!J248</f>
        <v>0</v>
      </c>
    </row>
    <row r="93" spans="1:6" x14ac:dyDescent="0.25">
      <c r="A93" s="650" t="s">
        <v>95</v>
      </c>
      <c r="B93" s="726">
        <f>Input!F250</f>
        <v>0</v>
      </c>
      <c r="C93" s="726">
        <f>Input!G250</f>
        <v>0</v>
      </c>
      <c r="D93" s="726">
        <f>Input!H250</f>
        <v>0.51560996412213744</v>
      </c>
      <c r="E93" s="726">
        <f>Input!I250</f>
        <v>0</v>
      </c>
      <c r="F93" s="726">
        <f>Input!J250</f>
        <v>0</v>
      </c>
    </row>
    <row r="94" spans="1:6" x14ac:dyDescent="0.25">
      <c r="A94" s="707" t="s">
        <v>96</v>
      </c>
      <c r="B94" s="726">
        <f>Input!F252</f>
        <v>0</v>
      </c>
      <c r="C94" s="726">
        <f>Input!G252</f>
        <v>0</v>
      </c>
      <c r="D94" s="726">
        <f>Input!H252</f>
        <v>0</v>
      </c>
      <c r="E94" s="726">
        <f>Input!I252</f>
        <v>0</v>
      </c>
      <c r="F94" s="726">
        <f>Input!J252</f>
        <v>0</v>
      </c>
    </row>
    <row r="95" spans="1:6" x14ac:dyDescent="0.25">
      <c r="A95" s="647" t="s">
        <v>97</v>
      </c>
      <c r="B95" s="726">
        <f>Input!F254</f>
        <v>2.2332104757585736E-2</v>
      </c>
      <c r="C95" s="726">
        <f>Input!G254</f>
        <v>0.33174952193296381</v>
      </c>
      <c r="D95" s="726">
        <f>Input!H254</f>
        <v>-9.350581657093171E-2</v>
      </c>
      <c r="E95" s="726">
        <f>Input!I254</f>
        <v>1.032889241592748</v>
      </c>
      <c r="F95" s="726">
        <f>Input!J254</f>
        <v>0.42358409724982193</v>
      </c>
    </row>
    <row r="96" spans="1:6" x14ac:dyDescent="0.25">
      <c r="A96" s="705" t="s">
        <v>98</v>
      </c>
      <c r="B96" s="726">
        <f>Input!F256</f>
        <v>0.33174952276744341</v>
      </c>
      <c r="C96" s="726">
        <f>Input!G256</f>
        <v>-9.3505818343594838E-2</v>
      </c>
      <c r="D96" s="726">
        <f>Input!H256</f>
        <v>0.13288924244870226</v>
      </c>
      <c r="E96" s="726">
        <f>Input!I256</f>
        <v>6.0753722438744662E-2</v>
      </c>
      <c r="F96" s="726">
        <f>Input!J256</f>
        <v>2.1522874660527158E-2</v>
      </c>
    </row>
    <row r="97" spans="1:6" x14ac:dyDescent="0.25">
      <c r="A97" s="716" t="s">
        <v>99</v>
      </c>
      <c r="B97" s="726">
        <f>Input!F258</f>
        <v>2.2332105824483195E-2</v>
      </c>
      <c r="C97" s="726">
        <f>Input!G258</f>
        <v>0.33174951850813605</v>
      </c>
      <c r="D97" s="726">
        <f>Input!H258</f>
        <v>-1</v>
      </c>
      <c r="E97" s="726">
        <f>Input!I258</f>
        <v>0</v>
      </c>
      <c r="F97" s="726">
        <f>Input!J258</f>
        <v>-1</v>
      </c>
    </row>
    <row r="98" spans="1:6" x14ac:dyDescent="0.25">
      <c r="A98" s="720" t="s">
        <v>100</v>
      </c>
      <c r="B98" s="726">
        <f>Input!F260</f>
        <v>2.2332105268968228E-2</v>
      </c>
      <c r="C98" s="726">
        <f>Input!G260</f>
        <v>0.33174952276744429</v>
      </c>
      <c r="D98" s="726">
        <f>Input!H260</f>
        <v>-9.3505818343593727E-2</v>
      </c>
      <c r="E98" s="726">
        <f>Input!I260</f>
        <v>0.13288924244868539</v>
      </c>
      <c r="F98" s="726">
        <f>Input!J260</f>
        <v>6.0753722438776636E-2</v>
      </c>
    </row>
    <row r="99" spans="1:6" x14ac:dyDescent="0.25">
      <c r="A99" s="714" t="s">
        <v>101</v>
      </c>
      <c r="B99" s="726">
        <f>Input!F263</f>
        <v>0.33174952193296381</v>
      </c>
      <c r="C99" s="726">
        <f>Input!G263</f>
        <v>-9.350581657093171E-2</v>
      </c>
      <c r="D99" s="726">
        <f>Input!H263</f>
        <v>1.032889241592748</v>
      </c>
      <c r="E99" s="726">
        <f>Input!I263</f>
        <v>0.42358409724982193</v>
      </c>
      <c r="F99" s="726">
        <f>Input!J263</f>
        <v>0.38265843558970558</v>
      </c>
    </row>
    <row r="100" spans="1:6" x14ac:dyDescent="0.25">
      <c r="A100" s="722" t="s">
        <v>102</v>
      </c>
      <c r="B100" s="726">
        <f>Input!F266</f>
        <v>0.14582286730040206</v>
      </c>
      <c r="C100" s="726">
        <f>Input!G266</f>
        <v>0.16948477768944481</v>
      </c>
      <c r="D100" s="726">
        <f>Input!H266</f>
        <v>0.13137149605175047</v>
      </c>
      <c r="E100" s="726">
        <f>Input!I266</f>
        <v>0.13154773225311178</v>
      </c>
      <c r="F100" s="726">
        <f>Input!J266</f>
        <v>0.1233175964994595</v>
      </c>
    </row>
    <row r="101" spans="1:6" x14ac:dyDescent="0.25">
      <c r="A101" s="650" t="s">
        <v>103</v>
      </c>
      <c r="B101" s="726">
        <f>Input!F268</f>
        <v>0</v>
      </c>
      <c r="C101" s="726">
        <f>Input!G268</f>
        <v>0</v>
      </c>
      <c r="D101" s="726">
        <f>Input!H268</f>
        <v>0</v>
      </c>
      <c r="E101" s="726">
        <f>Input!I268</f>
        <v>0</v>
      </c>
      <c r="F101" s="726">
        <f>Input!J268</f>
        <v>0</v>
      </c>
    </row>
    <row r="102" spans="1:6" x14ac:dyDescent="0.25">
      <c r="A102" s="724" t="s">
        <v>1783</v>
      </c>
      <c r="B102" s="726">
        <f>Input!F270</f>
        <v>0</v>
      </c>
      <c r="C102" s="726">
        <f>Input!G270</f>
        <v>0</v>
      </c>
      <c r="D102" s="726">
        <f>Input!H270</f>
        <v>0</v>
      </c>
      <c r="E102" s="726">
        <f>Input!I270</f>
        <v>0</v>
      </c>
      <c r="F102" s="726">
        <f>Input!J270</f>
        <v>0</v>
      </c>
    </row>
    <row r="103" spans="1:6" x14ac:dyDescent="0.25">
      <c r="A103" s="647" t="s">
        <v>104</v>
      </c>
      <c r="B103" s="726">
        <f>Input!F272</f>
        <v>0</v>
      </c>
      <c r="C103" s="726">
        <f>Input!G272</f>
        <v>0</v>
      </c>
      <c r="D103" s="726">
        <f>Input!H272</f>
        <v>0</v>
      </c>
      <c r="E103" s="726">
        <f>Input!I272</f>
        <v>0</v>
      </c>
      <c r="F103" s="726">
        <f>Input!J272</f>
        <v>0</v>
      </c>
    </row>
    <row r="104" spans="1:6" x14ac:dyDescent="0.25">
      <c r="A104" s="717" t="s">
        <v>105</v>
      </c>
      <c r="B104" s="726">
        <f>Input!F275</f>
        <v>0.11823577952705788</v>
      </c>
      <c r="C104" s="726">
        <f>Input!G275</f>
        <v>2.1180235168547501E-3</v>
      </c>
      <c r="D104" s="726">
        <f>Input!H275</f>
        <v>0.58192968600329142</v>
      </c>
      <c r="E104" s="726">
        <f>Input!I275</f>
        <v>0.18171774204447089</v>
      </c>
      <c r="F104" s="726">
        <f>Input!J275</f>
        <v>0.1937320834130789</v>
      </c>
    </row>
    <row r="105" spans="1:6" x14ac:dyDescent="0.25">
      <c r="A105" s="655" t="s">
        <v>106</v>
      </c>
      <c r="B105" s="726">
        <f>Input!F277</f>
        <v>0.44700642403993895</v>
      </c>
      <c r="C105" s="726">
        <f>Input!G277</f>
        <v>0.13836389052649056</v>
      </c>
      <c r="D105" s="726">
        <f>Input!H277</f>
        <v>5.9199502360836931E-2</v>
      </c>
      <c r="E105" s="726">
        <f>Input!I277</f>
        <v>0.1151515095489688</v>
      </c>
      <c r="F105" s="726">
        <f>Input!J277</f>
        <v>0.15303020870407624</v>
      </c>
    </row>
  </sheetData>
  <dataValidations count="1">
    <dataValidation allowBlank="1" showErrorMessage="1" sqref="A2:A105" xr:uid="{00000000-0002-0000-08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6"/>
  <sheetViews>
    <sheetView workbookViewId="0">
      <selection activeCell="I78" sqref="I78"/>
    </sheetView>
  </sheetViews>
  <sheetFormatPr defaultRowHeight="13.2" x14ac:dyDescent="0.25"/>
  <cols>
    <col min="1" max="1" width="38.21875" bestFit="1" customWidth="1"/>
  </cols>
  <sheetData>
    <row r="1" spans="1:7" x14ac:dyDescent="0.25">
      <c r="B1" s="53">
        <f>Input!E19</f>
        <v>2014</v>
      </c>
      <c r="C1" s="53">
        <f>Input!F19</f>
        <v>2015</v>
      </c>
      <c r="D1" s="53">
        <f>Input!G19</f>
        <v>2016</v>
      </c>
      <c r="E1" s="53">
        <f>Input!H19</f>
        <v>2017</v>
      </c>
      <c r="F1" s="53">
        <f>Input!I19</f>
        <v>2018</v>
      </c>
      <c r="G1" s="53">
        <f>Input!J19</f>
        <v>2019</v>
      </c>
    </row>
    <row r="2" spans="1:7" x14ac:dyDescent="0.25">
      <c r="A2" s="652" t="s">
        <v>9</v>
      </c>
      <c r="B2" s="731">
        <f>Input!E22/Input!$E$22</f>
        <v>1</v>
      </c>
      <c r="C2" s="731">
        <f>Input!F22/Input!$F$22</f>
        <v>1</v>
      </c>
      <c r="D2" s="731">
        <f>Input!G22/Input!$G$22</f>
        <v>1</v>
      </c>
      <c r="E2" s="731">
        <f>Input!H22/Input!$H$22</f>
        <v>1</v>
      </c>
      <c r="F2" s="731">
        <f>Input!I22/Input!$I$22</f>
        <v>1</v>
      </c>
      <c r="G2" s="731">
        <f>Input!J22/Input!$J$22</f>
        <v>1</v>
      </c>
    </row>
    <row r="3" spans="1:7" x14ac:dyDescent="0.25">
      <c r="A3" s="646" t="s">
        <v>10</v>
      </c>
      <c r="B3" s="731">
        <f>Input!E24/Input!$E$22</f>
        <v>-0.81128596305618506</v>
      </c>
      <c r="C3" s="731">
        <f>Input!F24/Input!$F$22</f>
        <v>-0.7611340303239954</v>
      </c>
      <c r="D3" s="731">
        <f>Input!G24/Input!$G$22</f>
        <v>-0.74542471703832047</v>
      </c>
      <c r="E3" s="731">
        <f>Input!H24/Input!$H$22</f>
        <v>-0.71154177535476038</v>
      </c>
      <c r="F3" s="731">
        <f>Input!I24/Input!$I$22</f>
        <v>-0.71154177535476038</v>
      </c>
      <c r="G3" s="731">
        <f>Input!J24/Input!$J$22</f>
        <v>-0.72413543509555256</v>
      </c>
    </row>
    <row r="4" spans="1:7" x14ac:dyDescent="0.25">
      <c r="A4" s="646" t="s">
        <v>11</v>
      </c>
      <c r="B4" s="731">
        <f>Input!E26/Input!$E$22</f>
        <v>-1.6611356591455191E-2</v>
      </c>
      <c r="C4" s="731">
        <f>Input!F26/Input!$F$22</f>
        <v>-2.0561902980765559E-2</v>
      </c>
      <c r="D4" s="731">
        <f>Input!G26/Input!$G$22</f>
        <v>-3.1270806579835102E-2</v>
      </c>
      <c r="E4" s="731">
        <f>Input!H26/Input!$H$22</f>
        <v>-3.6838658067414987E-2</v>
      </c>
      <c r="F4" s="731">
        <f>Input!I26/Input!$I$22</f>
        <v>-3.8513142525024753E-2</v>
      </c>
      <c r="G4" s="731">
        <f>Input!J26/Input!$J$22</f>
        <v>-3.9194791065290675E-2</v>
      </c>
    </row>
    <row r="5" spans="1:7" x14ac:dyDescent="0.25">
      <c r="A5" s="703"/>
      <c r="B5" s="731">
        <f>Input!E28/Input!$E$22</f>
        <v>0</v>
      </c>
      <c r="C5" s="731">
        <f>Input!F28/Input!$F$22</f>
        <v>0</v>
      </c>
      <c r="D5" s="731">
        <f>Input!G28/Input!$G$22</f>
        <v>0</v>
      </c>
      <c r="E5" s="731">
        <f>Input!H28/Input!$H$22</f>
        <v>0</v>
      </c>
      <c r="F5" s="731">
        <f>Input!I28/Input!$I$22</f>
        <v>0</v>
      </c>
      <c r="G5" s="731">
        <f>Input!J28/Input!$J$22</f>
        <v>0</v>
      </c>
    </row>
    <row r="6" spans="1:7" x14ac:dyDescent="0.25">
      <c r="A6" s="653" t="s">
        <v>12</v>
      </c>
      <c r="B6" s="731">
        <f>Input!E29/Input!$E$22</f>
        <v>0.17210268035235976</v>
      </c>
      <c r="C6" s="731">
        <f>Input!F29/Input!$F$22</f>
        <v>0.218304066695239</v>
      </c>
      <c r="D6" s="731">
        <f>Input!G29/Input!$G$22</f>
        <v>0.22330447638184442</v>
      </c>
      <c r="E6" s="731">
        <f>Input!H29/Input!$H$22</f>
        <v>0.25161956657782458</v>
      </c>
      <c r="F6" s="731">
        <f>Input!I29/Input!$I$22</f>
        <v>0.24994508212021488</v>
      </c>
      <c r="G6" s="731">
        <f>Input!J29/Input!$J$22</f>
        <v>0.23666977383915672</v>
      </c>
    </row>
    <row r="7" spans="1:7" x14ac:dyDescent="0.25">
      <c r="A7" s="704" t="s">
        <v>13</v>
      </c>
      <c r="B7" s="731">
        <f>Input!E33/Input!$E$22</f>
        <v>-3.6385236644613066E-2</v>
      </c>
      <c r="C7" s="731">
        <f>Input!F33/Input!$F$22</f>
        <v>-4.2500828668599444E-2</v>
      </c>
      <c r="D7" s="731">
        <f>Input!G33/Input!$G$22</f>
        <v>-5.6003810805476555E-2</v>
      </c>
      <c r="E7" s="731">
        <f>Input!H33/Input!$H$22</f>
        <v>-6.8731949624903033E-2</v>
      </c>
      <c r="F7" s="731">
        <f>Input!I33/Input!$I$22</f>
        <v>-7.498030868171239E-2</v>
      </c>
      <c r="G7" s="731">
        <f>Input!J33/Input!$J$22</f>
        <v>-7.9625106564650341E-2</v>
      </c>
    </row>
    <row r="8" spans="1:7" x14ac:dyDescent="0.25">
      <c r="A8" s="283" t="s">
        <v>3094</v>
      </c>
      <c r="B8" s="731">
        <f>Input!E35/Input!$E$22</f>
        <v>-1.2264134473749213E-2</v>
      </c>
      <c r="C8" s="731">
        <f>Input!F35/Input!$F$22</f>
        <v>-5.8205353615174106E-3</v>
      </c>
      <c r="D8" s="731">
        <f>Input!G35/Input!$G$22</f>
        <v>-4.6854859253487792E-2</v>
      </c>
      <c r="E8" s="731">
        <f>Input!H35/Input!$H$22</f>
        <v>-4.4353569609385128E-2</v>
      </c>
      <c r="F8" s="731">
        <f>Input!I35/Input!$I$22</f>
        <v>-4.0321426917622832E-2</v>
      </c>
      <c r="G8" s="731">
        <f>Input!J35/Input!$J$22</f>
        <v>-3.5682678688161801E-2</v>
      </c>
    </row>
    <row r="9" spans="1:7" x14ac:dyDescent="0.25">
      <c r="A9" s="283" t="s">
        <v>14</v>
      </c>
      <c r="B9" s="731">
        <f>Input!E37/Input!$E$22</f>
        <v>-2.6782698128219779E-4</v>
      </c>
      <c r="C9" s="731">
        <f>Input!F37/Input!$F$22</f>
        <v>-1.0863354144327002E-2</v>
      </c>
      <c r="D9" s="731">
        <f>Input!G37/Input!$G$22</f>
        <v>-1.5918471491936318E-3</v>
      </c>
      <c r="E9" s="731">
        <f>Input!H37/Input!$H$22</f>
        <v>-1.4471337719942105E-3</v>
      </c>
      <c r="F9" s="731">
        <f>Input!I37/Input!$I$22</f>
        <v>-1.315576156358373E-3</v>
      </c>
      <c r="G9" s="731">
        <f>Input!J37/Input!$J$22</f>
        <v>-1.164226687042808E-3</v>
      </c>
    </row>
    <row r="10" spans="1:7" x14ac:dyDescent="0.25">
      <c r="A10" s="483" t="s">
        <v>1773</v>
      </c>
      <c r="B10" s="731">
        <f>Input!E39/Input!$E$22</f>
        <v>0</v>
      </c>
      <c r="C10" s="731">
        <f>Input!F39/Input!$F$22</f>
        <v>0</v>
      </c>
      <c r="D10" s="731">
        <f>Input!G39/Input!$G$22</f>
        <v>0</v>
      </c>
      <c r="E10" s="731">
        <f>Input!H39/Input!$H$22</f>
        <v>0</v>
      </c>
      <c r="F10" s="731">
        <f>Input!I39/Input!$I$22</f>
        <v>0</v>
      </c>
      <c r="G10" s="731">
        <f>Input!J39/Input!$J$22</f>
        <v>0</v>
      </c>
    </row>
    <row r="11" spans="1:7" x14ac:dyDescent="0.25">
      <c r="A11" s="646" t="s">
        <v>15</v>
      </c>
      <c r="B11" s="731">
        <f>Input!E41/Input!$E$22</f>
        <v>0</v>
      </c>
      <c r="C11" s="731">
        <f>Input!F41/Input!$F$22</f>
        <v>0</v>
      </c>
      <c r="D11" s="731">
        <f>Input!G41/Input!$G$22</f>
        <v>0</v>
      </c>
      <c r="E11" s="731">
        <f>Input!H41/Input!$H$22</f>
        <v>0</v>
      </c>
      <c r="F11" s="731">
        <f>Input!I41/Input!$I$22</f>
        <v>0</v>
      </c>
      <c r="G11" s="731">
        <f>Input!J41/Input!$J$22</f>
        <v>-8.6696204592723368E-4</v>
      </c>
    </row>
    <row r="12" spans="1:7" x14ac:dyDescent="0.25">
      <c r="A12" s="282" t="s">
        <v>16</v>
      </c>
      <c r="B12" s="731">
        <f>Input!E44/Input!$E$22</f>
        <v>0.12289961626696089</v>
      </c>
      <c r="C12" s="731">
        <f>Input!F44/Input!$F$22</f>
        <v>0.15849229773589738</v>
      </c>
      <c r="D12" s="731">
        <f>Input!G44/Input!$G$22</f>
        <v>0.11678613376206295</v>
      </c>
      <c r="E12" s="731">
        <f>Input!H44/Input!$H$22</f>
        <v>0.13478463657085238</v>
      </c>
      <c r="F12" s="731">
        <f>Input!I44/Input!$I$22</f>
        <v>0.1310254933638314</v>
      </c>
      <c r="G12" s="731">
        <f>Input!J44/Input!$J$22</f>
        <v>0.11708964525093304</v>
      </c>
    </row>
    <row r="13" spans="1:7" x14ac:dyDescent="0.25">
      <c r="A13" s="706" t="s">
        <v>1774</v>
      </c>
      <c r="B13" s="731">
        <f>Input!E46/Input!$E$22</f>
        <v>-2.3748212517997087E-4</v>
      </c>
      <c r="C13" s="731">
        <f>Input!F46/Input!$F$22</f>
        <v>-1.4351483146597403E-4</v>
      </c>
      <c r="D13" s="731">
        <f>Input!G46/Input!$G$22</f>
        <v>-1.5280888041730015E-2</v>
      </c>
      <c r="E13" s="731">
        <f>Input!H46/Input!$H$22</f>
        <v>-1.277483930889001E-2</v>
      </c>
      <c r="F13" s="731">
        <f>Input!I46/Input!$I$22</f>
        <v>-9.2907922246472791E-3</v>
      </c>
      <c r="G13" s="731">
        <f>Input!J46/Input!$J$22</f>
        <v>-6.166455016358814E-3</v>
      </c>
    </row>
    <row r="14" spans="1:7" x14ac:dyDescent="0.25">
      <c r="A14" s="646" t="s">
        <v>17</v>
      </c>
      <c r="B14" s="731">
        <f>Input!E48/Input!$E$22</f>
        <v>0</v>
      </c>
      <c r="C14" s="731">
        <f>Input!F48/Input!$F$22</f>
        <v>0</v>
      </c>
      <c r="D14" s="731">
        <f>Input!G48/Input!$G$22</f>
        <v>0</v>
      </c>
      <c r="E14" s="731">
        <f>Input!H48/Input!$H$22</f>
        <v>0</v>
      </c>
      <c r="F14" s="731">
        <f>Input!I48/Input!$I$22</f>
        <v>0</v>
      </c>
      <c r="G14" s="731">
        <f>Input!J48/Input!$J$22</f>
        <v>0</v>
      </c>
    </row>
    <row r="15" spans="1:7" x14ac:dyDescent="0.25">
      <c r="A15" s="646" t="s">
        <v>18</v>
      </c>
      <c r="B15" s="731">
        <f>Input!E50/Input!$E$22</f>
        <v>8.4688694731525661E-3</v>
      </c>
      <c r="C15" s="731">
        <f>Input!F50/Input!$F$22</f>
        <v>2.9483933260360945E-2</v>
      </c>
      <c r="D15" s="731">
        <f>Input!G50/Input!$G$22</f>
        <v>4.0919481964815506E-2</v>
      </c>
      <c r="E15" s="731">
        <f>Input!H50/Input!$H$22</f>
        <v>2.3744163239440057E-2</v>
      </c>
      <c r="F15" s="731">
        <f>Input!I50/Input!$I$22</f>
        <v>2.1585603243622738E-2</v>
      </c>
      <c r="G15" s="731">
        <f>Input!J50/Input!$J$22</f>
        <v>1.9102303755418354E-2</v>
      </c>
    </row>
    <row r="16" spans="1:7" x14ac:dyDescent="0.25">
      <c r="A16" s="646" t="s">
        <v>19</v>
      </c>
      <c r="B16" s="731">
        <f>Input!E52/Input!$E$22</f>
        <v>2.6022435472463138E-2</v>
      </c>
      <c r="C16" s="731">
        <f>Input!F52/Input!$F$22</f>
        <v>2.4460342620743224E-2</v>
      </c>
      <c r="D16" s="731">
        <f>Input!G52/Input!$G$22</f>
        <v>2.9383250288797919E-2</v>
      </c>
      <c r="E16" s="731">
        <f>Input!H52/Input!$H$22</f>
        <v>2.8047648002943466E-2</v>
      </c>
      <c r="F16" s="731">
        <f>Input!I52/Input!$I$22</f>
        <v>2.4283677924626372E-2</v>
      </c>
      <c r="G16" s="731">
        <f>Input!J52/Input!$J$22</f>
        <v>2.1489980464271127E-2</v>
      </c>
    </row>
    <row r="17" spans="1:7" x14ac:dyDescent="0.25">
      <c r="A17" s="646" t="s">
        <v>20</v>
      </c>
      <c r="B17" s="731">
        <f>Input!E54/Input!$E$22</f>
        <v>0</v>
      </c>
      <c r="C17" s="731">
        <f>Input!F54/Input!$F$22</f>
        <v>0</v>
      </c>
      <c r="D17" s="731">
        <f>Input!G54/Input!$G$22</f>
        <v>0</v>
      </c>
      <c r="E17" s="731">
        <f>Input!H54/Input!$H$22</f>
        <v>0</v>
      </c>
      <c r="F17" s="731">
        <f>Input!I54/Input!$I$22</f>
        <v>0</v>
      </c>
      <c r="G17" s="731">
        <f>Input!J54/Input!$J$22</f>
        <v>0</v>
      </c>
    </row>
    <row r="18" spans="1:7" x14ac:dyDescent="0.25">
      <c r="A18" s="283" t="s">
        <v>21</v>
      </c>
      <c r="B18" s="731">
        <f>Input!E56/Input!$E$22</f>
        <v>0</v>
      </c>
      <c r="C18" s="731">
        <f>Input!F56/Input!$F$22</f>
        <v>2.4588213678391151E-4</v>
      </c>
      <c r="D18" s="731">
        <f>Input!G56/Input!$G$22</f>
        <v>6.6581705991336564E-5</v>
      </c>
      <c r="E18" s="731">
        <f>Input!H56/Input!$H$22</f>
        <v>6.0528823628487773E-5</v>
      </c>
      <c r="F18" s="731">
        <f>Input!I56/Input!$I$22</f>
        <v>5.502620329862524E-5</v>
      </c>
      <c r="G18" s="731">
        <f>Input!J56/Input!$J$22</f>
        <v>4.8695755131526767E-5</v>
      </c>
    </row>
    <row r="19" spans="1:7" x14ac:dyDescent="0.25">
      <c r="A19" s="646" t="s">
        <v>22</v>
      </c>
      <c r="B19" s="731">
        <f>Input!E58/Input!$E$22</f>
        <v>0</v>
      </c>
      <c r="C19" s="731">
        <f>Input!F58/Input!$F$22</f>
        <v>0</v>
      </c>
      <c r="D19" s="731">
        <f>Input!G58/Input!$G$22</f>
        <v>0</v>
      </c>
      <c r="E19" s="731">
        <f>Input!H58/Input!$H$22</f>
        <v>0</v>
      </c>
      <c r="F19" s="731">
        <f>Input!I58/Input!$I$22</f>
        <v>0</v>
      </c>
      <c r="G19" s="731">
        <f>Input!J58/Input!$J$22</f>
        <v>0</v>
      </c>
    </row>
    <row r="20" spans="1:7" x14ac:dyDescent="0.25">
      <c r="A20" s="282" t="s">
        <v>23</v>
      </c>
      <c r="B20" s="731">
        <f>Input!E61/Input!$E$22</f>
        <v>0.15715343908739662</v>
      </c>
      <c r="C20" s="731">
        <f>Input!F61/Input!$F$22</f>
        <v>0.21253894092231948</v>
      </c>
      <c r="D20" s="731">
        <f>Input!G61/Input!$G$22</f>
        <v>0.1718745596799377</v>
      </c>
      <c r="E20" s="731">
        <f>Input!H61/Input!$H$22</f>
        <v>0.1738621373279744</v>
      </c>
      <c r="F20" s="731">
        <f>Input!I61/Input!$I$22</f>
        <v>0.16765900851073184</v>
      </c>
      <c r="G20" s="731">
        <f>Input!J61/Input!$J$22</f>
        <v>0.15156417020939525</v>
      </c>
    </row>
    <row r="21" spans="1:7" x14ac:dyDescent="0.25">
      <c r="A21" s="705" t="s">
        <v>24</v>
      </c>
      <c r="B21" s="731">
        <f>Input!E63/Input!$E$22</f>
        <v>-3.895771952966489E-2</v>
      </c>
      <c r="C21" s="731">
        <f>Input!F63/Input!$F$22</f>
        <v>-6.9122765802749009E-2</v>
      </c>
      <c r="D21" s="731">
        <f>Input!G63/Input!$G$22</f>
        <v>-4.1043171651456593E-2</v>
      </c>
      <c r="E21" s="731">
        <f>Input!H63/Input!$H$22</f>
        <v>-3.9118980898794238E-2</v>
      </c>
      <c r="F21" s="731">
        <f>Input!I63/Input!$I$22</f>
        <v>-3.7723276914914672E-2</v>
      </c>
      <c r="G21" s="731">
        <f>Input!J63/Input!$J$22</f>
        <v>-3.4101938297113936E-2</v>
      </c>
    </row>
    <row r="22" spans="1:7" x14ac:dyDescent="0.25">
      <c r="A22" s="708" t="s">
        <v>25</v>
      </c>
      <c r="B22" s="731">
        <f>Input!E65/Input!$E$22</f>
        <v>-3.895771952966489E-2</v>
      </c>
      <c r="C22" s="731">
        <f>Input!F65/Input!$F$22</f>
        <v>-6.9122765802749009E-2</v>
      </c>
      <c r="D22" s="731">
        <f>Input!G65/Input!$G$22</f>
        <v>-4.1043171651456593E-2</v>
      </c>
      <c r="E22" s="731">
        <f>Input!H65/Input!$H$22</f>
        <v>-3.9118980898794238E-2</v>
      </c>
      <c r="F22" s="731">
        <f>Input!I65/Input!$I$22</f>
        <v>-3.7723276914914672E-2</v>
      </c>
      <c r="G22" s="731">
        <f>Input!J65/Input!$J$22</f>
        <v>-3.4101938297113936E-2</v>
      </c>
    </row>
    <row r="23" spans="1:7" x14ac:dyDescent="0.25">
      <c r="A23" s="283" t="s">
        <v>26</v>
      </c>
      <c r="B23" s="731">
        <f>Input!E67/Input!$E$22</f>
        <v>0</v>
      </c>
      <c r="C23" s="731">
        <f>Input!F67/Input!$F$22</f>
        <v>0</v>
      </c>
      <c r="D23" s="731">
        <f>Input!G67/Input!$G$22</f>
        <v>0</v>
      </c>
      <c r="E23" s="731">
        <f>Input!H67/Input!$H$22</f>
        <v>0</v>
      </c>
      <c r="F23" s="731">
        <f>Input!I67/Input!$I$22</f>
        <v>0</v>
      </c>
      <c r="G23" s="731">
        <f>Input!J67/Input!$J$22</f>
        <v>0</v>
      </c>
    </row>
    <row r="24" spans="1:7" x14ac:dyDescent="0.25">
      <c r="A24" s="653" t="s">
        <v>27</v>
      </c>
      <c r="B24" s="731">
        <f>Input!E70/Input!$E$22</f>
        <v>0.11819571955773174</v>
      </c>
      <c r="C24" s="731">
        <f>Input!F70/Input!$F$22</f>
        <v>0.14341617511957047</v>
      </c>
      <c r="D24" s="731">
        <f>Input!G70/Input!$G$22</f>
        <v>0.1308313880284811</v>
      </c>
      <c r="E24" s="731">
        <f>Input!H70/Input!$H$22</f>
        <v>0.13474315642918017</v>
      </c>
      <c r="F24" s="731">
        <f>Input!I70/Input!$I$22</f>
        <v>0.1299357315958172</v>
      </c>
      <c r="G24" s="731">
        <f>Input!J70/Input!$J$22</f>
        <v>0.11746223191228131</v>
      </c>
    </row>
    <row r="25" spans="1:7" x14ac:dyDescent="0.25">
      <c r="A25" s="283" t="s">
        <v>28</v>
      </c>
      <c r="B25" s="731">
        <f>Input!E72/Input!$E$22</f>
        <v>0</v>
      </c>
      <c r="C25" s="731">
        <f>Input!F72/Input!$F$22</f>
        <v>0</v>
      </c>
      <c r="D25" s="731">
        <f>Input!G72/Input!$G$22</f>
        <v>0</v>
      </c>
      <c r="E25" s="731">
        <f>Input!H72/Input!$H$22</f>
        <v>0</v>
      </c>
      <c r="F25" s="731">
        <f>Input!I72/Input!$I$22</f>
        <v>0</v>
      </c>
      <c r="G25" s="731">
        <f>Input!J72/Input!$J$22</f>
        <v>0</v>
      </c>
    </row>
    <row r="26" spans="1:7" x14ac:dyDescent="0.25">
      <c r="A26" s="646" t="s">
        <v>29</v>
      </c>
      <c r="B26" s="731">
        <f>Input!E74/Input!$E$22</f>
        <v>0</v>
      </c>
      <c r="C26" s="731">
        <f>Input!F74/Input!$F$22</f>
        <v>0</v>
      </c>
      <c r="D26" s="731">
        <f>Input!G74/Input!$G$22</f>
        <v>0</v>
      </c>
      <c r="E26" s="731">
        <f>Input!H74/Input!$H$22</f>
        <v>0</v>
      </c>
      <c r="F26" s="731">
        <f>Input!I74/Input!$I$22</f>
        <v>0</v>
      </c>
      <c r="G26" s="731">
        <f>Input!J74/Input!$J$22</f>
        <v>0</v>
      </c>
    </row>
    <row r="27" spans="1:7" x14ac:dyDescent="0.25">
      <c r="A27" s="646" t="s">
        <v>30</v>
      </c>
      <c r="B27" s="731">
        <f>Input!E76/Input!$E$22</f>
        <v>0</v>
      </c>
      <c r="C27" s="731">
        <f>Input!F76/Input!$F$22</f>
        <v>0</v>
      </c>
      <c r="D27" s="731">
        <f>Input!G76/Input!$G$22</f>
        <v>0</v>
      </c>
      <c r="E27" s="731">
        <f>Input!H76/Input!$H$22</f>
        <v>0</v>
      </c>
      <c r="F27" s="731">
        <f>Input!I76/Input!$I$22</f>
        <v>0</v>
      </c>
      <c r="G27" s="731">
        <f>Input!J76/Input!$J$22</f>
        <v>0</v>
      </c>
    </row>
    <row r="28" spans="1:7" x14ac:dyDescent="0.25">
      <c r="A28" s="653" t="s">
        <v>31</v>
      </c>
      <c r="B28" s="731">
        <f>Input!E81/Input!$E$22</f>
        <v>0.11819571955773174</v>
      </c>
      <c r="C28" s="731">
        <f>Input!F81/Input!$F$22</f>
        <v>0.14341617511957047</v>
      </c>
      <c r="D28" s="731">
        <f>Input!G81/Input!$G$22</f>
        <v>0.1308313880284811</v>
      </c>
      <c r="E28" s="731">
        <f>Input!H81/Input!$H$22</f>
        <v>0.13474315642918017</v>
      </c>
      <c r="F28" s="731">
        <f>Input!I81/Input!$I$22</f>
        <v>0.1299357315958172</v>
      </c>
      <c r="G28" s="731">
        <f>Input!J81/Input!$J$22</f>
        <v>0.11746223191228131</v>
      </c>
    </row>
    <row r="29" spans="1:7" x14ac:dyDescent="0.25">
      <c r="A29" s="283" t="s">
        <v>32</v>
      </c>
      <c r="B29" s="731">
        <f>Input!E83/Input!$E$22</f>
        <v>0</v>
      </c>
      <c r="C29" s="731">
        <f>Input!F83/Input!$F$22</f>
        <v>0</v>
      </c>
      <c r="D29" s="731">
        <f>Input!G83/Input!$G$22</f>
        <v>0</v>
      </c>
      <c r="E29" s="731">
        <f>Input!H83/Input!$H$22</f>
        <v>0</v>
      </c>
      <c r="F29" s="731">
        <f>Input!I83/Input!$I$22</f>
        <v>0</v>
      </c>
      <c r="G29" s="731">
        <f>Input!J83/Input!$J$22</f>
        <v>0</v>
      </c>
    </row>
    <row r="30" spans="1:7" x14ac:dyDescent="0.25">
      <c r="A30" s="646" t="s">
        <v>33</v>
      </c>
      <c r="B30" s="731">
        <f>Input!E85/Input!$E$22</f>
        <v>-0.10405243767084375</v>
      </c>
      <c r="C30" s="731">
        <f>Input!F85/Input!$F$22</f>
        <v>-9.692104674673882E-2</v>
      </c>
      <c r="D30" s="731">
        <f>Input!G85/Input!$G$22</f>
        <v>-0.12989410341803945</v>
      </c>
      <c r="E30" s="731">
        <f>Input!H85/Input!$H$22</f>
        <v>0</v>
      </c>
      <c r="F30" s="731">
        <f>Input!I85/Input!$I$22</f>
        <v>-2.4579866134303446E-2</v>
      </c>
      <c r="G30" s="731">
        <f>Input!J85/Input!$J$22</f>
        <v>0</v>
      </c>
    </row>
    <row r="31" spans="1:7" x14ac:dyDescent="0.25">
      <c r="A31" s="283" t="s">
        <v>34</v>
      </c>
      <c r="B31" s="731">
        <f>Input!E87/Input!$E$22</f>
        <v>-1.1561381956857868E-2</v>
      </c>
      <c r="C31" s="731">
        <f>Input!F87/Input!$F$22</f>
        <v>-1.0769005182111442E-2</v>
      </c>
      <c r="D31" s="731">
        <f>Input!G87/Input!$G$22</f>
        <v>-1.4432678187676559E-2</v>
      </c>
      <c r="E31" s="731">
        <f>Input!H87/Input!$H$22</f>
        <v>-1.1893762548043751E-2</v>
      </c>
      <c r="F31" s="731">
        <f>Input!I87/Input!$I$22</f>
        <v>-1.2249377857198025E-2</v>
      </c>
      <c r="G31" s="731">
        <f>Input!J87/Input!$J$22</f>
        <v>-1.1498737309364541E-2</v>
      </c>
    </row>
    <row r="32" spans="1:7" x14ac:dyDescent="0.25">
      <c r="A32" s="653" t="s">
        <v>35</v>
      </c>
      <c r="B32" s="731">
        <f>Input!E90/Input!$E$22</f>
        <v>2.5818999300301158E-3</v>
      </c>
      <c r="C32" s="731">
        <f>Input!F90/Input!$F$22</f>
        <v>3.5726123190720209E-2</v>
      </c>
      <c r="D32" s="731">
        <f>Input!G90/Input!$G$22</f>
        <v>-1.3495393577234888E-2</v>
      </c>
      <c r="E32" s="731">
        <f>Input!H90/Input!$H$22</f>
        <v>0.1228493938811364</v>
      </c>
      <c r="F32" s="731">
        <f>Input!I90/Input!$I$22</f>
        <v>9.310648760431571E-2</v>
      </c>
      <c r="G32" s="731">
        <f>Input!J90/Input!$J$22</f>
        <v>0.10596349460291676</v>
      </c>
    </row>
    <row r="33" spans="1:7" x14ac:dyDescent="0.25">
      <c r="A33" s="283" t="s">
        <v>38</v>
      </c>
      <c r="B33" s="731">
        <f>Input!E98/Input!$E$181</f>
        <v>0.1318372199527591</v>
      </c>
      <c r="C33" s="731">
        <f>Input!F98/Input!$F$181</f>
        <v>8.5996168293995784E-2</v>
      </c>
      <c r="D33" s="731">
        <f>Input!G98/Input!$G$181</f>
        <v>0.25480618767308993</v>
      </c>
      <c r="E33" s="731">
        <f>Input!H98/Input!$H$181</f>
        <v>0.24056486723101989</v>
      </c>
      <c r="F33" s="731">
        <f>Input!I98/Input!$I$181</f>
        <v>0.23945356336098003</v>
      </c>
      <c r="G33" s="731">
        <f>Input!J98/Input!$J$181</f>
        <v>0.24920793388215556</v>
      </c>
    </row>
    <row r="34" spans="1:7" x14ac:dyDescent="0.25">
      <c r="A34" s="646" t="s">
        <v>39</v>
      </c>
      <c r="B34" s="731">
        <f>Input!E100/Input!$E$181</f>
        <v>0.23711912387559528</v>
      </c>
      <c r="C34" s="731">
        <f>Input!F100/Input!$F$181</f>
        <v>0.44623602925514155</v>
      </c>
      <c r="D34" s="731">
        <f>Input!G100/Input!$G$181</f>
        <v>0.31117907850386567</v>
      </c>
      <c r="E34" s="731">
        <f>Input!H100/Input!$H$181</f>
        <v>0.29378703236750076</v>
      </c>
      <c r="F34" s="731">
        <f>Input!I100/Input!$I$181</f>
        <v>0.26345032928397216</v>
      </c>
      <c r="G34" s="731">
        <f>Input!J100/Input!$J$181</f>
        <v>0.22848519256340438</v>
      </c>
    </row>
    <row r="35" spans="1:7" x14ac:dyDescent="0.25">
      <c r="A35" s="283" t="s">
        <v>40</v>
      </c>
      <c r="B35" s="731">
        <f>Input!E102/Input!$E$181</f>
        <v>0</v>
      </c>
      <c r="C35" s="731">
        <f>Input!F102/Input!$F$181</f>
        <v>0</v>
      </c>
      <c r="D35" s="731">
        <f>Input!G102/Input!$G$181</f>
        <v>0</v>
      </c>
      <c r="E35" s="731">
        <f>Input!H102/Input!$H$181</f>
        <v>0</v>
      </c>
      <c r="F35" s="731">
        <f>Input!I102/Input!$I$181</f>
        <v>0</v>
      </c>
      <c r="G35" s="731">
        <f>Input!J102/Input!$J$181</f>
        <v>0</v>
      </c>
    </row>
    <row r="36" spans="1:7" x14ac:dyDescent="0.25">
      <c r="A36" s="707" t="s">
        <v>41</v>
      </c>
      <c r="B36" s="731">
        <f>Input!E105/Input!$E$181</f>
        <v>2.0716758882281881E-2</v>
      </c>
      <c r="C36" s="731">
        <f>Input!F105/Input!$F$181</f>
        <v>2.6146224546418222E-2</v>
      </c>
      <c r="D36" s="731">
        <f>Input!G105/Input!$G$181</f>
        <v>3.1183293990588511E-2</v>
      </c>
      <c r="E36" s="731">
        <f>Input!H105/Input!$H$181</f>
        <v>4.282870486340444E-2</v>
      </c>
      <c r="F36" s="731">
        <f>Input!I105/Input!$I$181</f>
        <v>4.2246793328342788E-2</v>
      </c>
      <c r="G36" s="731">
        <f>Input!J105/Input!$J$181</f>
        <v>4.5543268257301074E-2</v>
      </c>
    </row>
    <row r="37" spans="1:7" x14ac:dyDescent="0.25">
      <c r="A37" s="283" t="s">
        <v>42</v>
      </c>
      <c r="B37" s="731">
        <f>Input!E107/Input!$E$181</f>
        <v>0</v>
      </c>
      <c r="C37" s="731">
        <f>Input!F107/Input!$F$181</f>
        <v>0</v>
      </c>
      <c r="D37" s="731">
        <f>Input!G107/Input!$G$181</f>
        <v>0</v>
      </c>
      <c r="E37" s="731">
        <f>Input!H107/Input!$H$181</f>
        <v>-4.2828704863404439E-3</v>
      </c>
      <c r="F37" s="731">
        <f>Input!I107/Input!$I$181</f>
        <v>-4.2246793328342786E-3</v>
      </c>
      <c r="G37" s="731">
        <f>Input!J107/Input!$J$181</f>
        <v>-4.5543268257301076E-3</v>
      </c>
    </row>
    <row r="38" spans="1:7" x14ac:dyDescent="0.25">
      <c r="A38" s="714" t="s">
        <v>43</v>
      </c>
      <c r="B38" s="731">
        <f>Input!E110/Input!$E$181</f>
        <v>2.0716758882281881E-2</v>
      </c>
      <c r="C38" s="731">
        <f>Input!F110/Input!$F$181</f>
        <v>2.6146224546418222E-2</v>
      </c>
      <c r="D38" s="731">
        <f>Input!G110/Input!$G$181</f>
        <v>3.1183293990588511E-2</v>
      </c>
      <c r="E38" s="731">
        <f>Input!H110/Input!$H$181</f>
        <v>3.8545834377063992E-2</v>
      </c>
      <c r="F38" s="731">
        <f>Input!I110/Input!$I$181</f>
        <v>3.8022113995508505E-2</v>
      </c>
      <c r="G38" s="731">
        <f>Input!J110/Input!$J$181</f>
        <v>4.098894143157096E-2</v>
      </c>
    </row>
    <row r="39" spans="1:7" x14ac:dyDescent="0.25">
      <c r="A39" s="708" t="s">
        <v>44</v>
      </c>
      <c r="B39" s="731">
        <f>Input!E113/Input!$E$181</f>
        <v>5.6709072311527456E-2</v>
      </c>
      <c r="C39" s="731">
        <f>Input!F113/Input!$F$181</f>
        <v>3.9782099076773138E-2</v>
      </c>
      <c r="D39" s="731">
        <f>Input!G113/Input!$G$181</f>
        <v>3.1747956087844656E-2</v>
      </c>
      <c r="E39" s="731">
        <f>Input!H113/Input!$H$181</f>
        <v>3.352185396411704E-2</v>
      </c>
      <c r="F39" s="731">
        <f>Input!I113/Input!$I$181</f>
        <v>3.7575447909868338E-2</v>
      </c>
      <c r="G39" s="731">
        <f>Input!J113/Input!$J$181</f>
        <v>4.0474834005895598E-2</v>
      </c>
    </row>
    <row r="40" spans="1:7" x14ac:dyDescent="0.25">
      <c r="A40" s="283" t="s">
        <v>45</v>
      </c>
      <c r="B40" s="731">
        <f>Input!E115/Input!$E$181</f>
        <v>2.8547457979674125E-2</v>
      </c>
      <c r="C40" s="731">
        <f>Input!F115/Input!$F$181</f>
        <v>1.536290048554626E-2</v>
      </c>
      <c r="D40" s="731">
        <f>Input!G115/Input!$G$181</f>
        <v>1.1334390109711975E-2</v>
      </c>
      <c r="E40" s="731">
        <f>Input!H115/Input!$H$181</f>
        <v>1.3713485712593336E-2</v>
      </c>
      <c r="F40" s="731">
        <f>Input!I115/Input!$I$181</f>
        <v>1.3527161247552603E-2</v>
      </c>
      <c r="G40" s="731">
        <f>Input!J115/Input!$J$181</f>
        <v>1.3491611335298531E-2</v>
      </c>
    </row>
    <row r="41" spans="1:7" x14ac:dyDescent="0.25">
      <c r="A41" s="646" t="s">
        <v>46</v>
      </c>
      <c r="B41" s="731">
        <f>Input!E117/Input!$E$181</f>
        <v>2.5772867581463407E-2</v>
      </c>
      <c r="C41" s="731">
        <f>Input!F117/Input!$F$181</f>
        <v>2.0220489353538242E-2</v>
      </c>
      <c r="D41" s="731">
        <f>Input!G117/Input!$G$181</f>
        <v>1.6520242867986916E-2</v>
      </c>
      <c r="E41" s="731">
        <f>Input!H117/Input!$H$181</f>
        <v>1.676092698205852E-2</v>
      </c>
      <c r="F41" s="731">
        <f>Input!I117/Input!$I$181</f>
        <v>1.6533197080342069E-2</v>
      </c>
      <c r="G41" s="731">
        <f>Input!J117/Input!$J$181</f>
        <v>1.6489747187587094E-2</v>
      </c>
    </row>
    <row r="42" spans="1:7" x14ac:dyDescent="0.25">
      <c r="A42" s="483" t="s">
        <v>371</v>
      </c>
      <c r="B42" s="731">
        <f>Input!E119/Input!$E$181</f>
        <v>4.3669901994850518E-2</v>
      </c>
      <c r="C42" s="731">
        <f>Input!F119/Input!$F$181</f>
        <v>5.5360893133702106E-2</v>
      </c>
      <c r="D42" s="731">
        <f>Input!G119/Input!$G$181</f>
        <v>5.7096526183188764E-2</v>
      </c>
      <c r="E42" s="731">
        <f>Input!H119/Input!$H$181</f>
        <v>5.4853942850373344E-2</v>
      </c>
      <c r="F42" s="731">
        <f>Input!I119/Input!$I$181</f>
        <v>5.7114680822999878E-2</v>
      </c>
      <c r="G42" s="731">
        <f>Input!J119/Input!$J$181</f>
        <v>5.6964581193482682E-2</v>
      </c>
    </row>
    <row r="43" spans="1:7" x14ac:dyDescent="0.25">
      <c r="A43" s="646" t="s">
        <v>47</v>
      </c>
      <c r="B43" s="731">
        <f>Input!E121/Input!$E$181</f>
        <v>0</v>
      </c>
      <c r="C43" s="731">
        <f>Input!F121/Input!$F$181</f>
        <v>0</v>
      </c>
      <c r="D43" s="731">
        <f>Input!G121/Input!$G$181</f>
        <v>0</v>
      </c>
      <c r="E43" s="731">
        <f>Input!H121/Input!$H$181</f>
        <v>0</v>
      </c>
      <c r="F43" s="731">
        <f>Input!I121/Input!$I$181</f>
        <v>0</v>
      </c>
      <c r="G43" s="731">
        <f>Input!J121/Input!$J$181</f>
        <v>0</v>
      </c>
    </row>
    <row r="44" spans="1:7" x14ac:dyDescent="0.25">
      <c r="A44" s="719" t="s">
        <v>48</v>
      </c>
      <c r="B44" s="731">
        <f>Input!E126/Input!$E$181</f>
        <v>0.15440346830315477</v>
      </c>
      <c r="C44" s="731">
        <f>Input!F126/Input!$F$181</f>
        <v>0.13052193819952154</v>
      </c>
      <c r="D44" s="731">
        <f>Input!G126/Input!$G$181</f>
        <v>0.11652681993205848</v>
      </c>
      <c r="E44" s="731">
        <f>Input!H126/Input!$H$181</f>
        <v>0.11865761057331164</v>
      </c>
      <c r="F44" s="731">
        <f>Input!I126/Input!$I$181</f>
        <v>0.12456050495732911</v>
      </c>
      <c r="G44" s="731">
        <f>Input!J126/Input!$J$181</f>
        <v>0.12723623392944144</v>
      </c>
    </row>
    <row r="45" spans="1:7" x14ac:dyDescent="0.25">
      <c r="A45" s="646" t="s">
        <v>49</v>
      </c>
      <c r="B45" s="731">
        <f>Input!E129/Input!$E$181</f>
        <v>1.3232883836691476E-2</v>
      </c>
      <c r="C45" s="731">
        <f>Input!F129/Input!$F$181</f>
        <v>4.7259337928762194E-3</v>
      </c>
      <c r="D45" s="731">
        <f>Input!G129/Input!$G$181</f>
        <v>3.4083457251448718E-3</v>
      </c>
      <c r="E45" s="731">
        <f>Input!H129/Input!$H$181</f>
        <v>4.5711619041977781E-3</v>
      </c>
      <c r="F45" s="731">
        <f>Input!I129/Input!$I$181</f>
        <v>6.0120716655789348E-3</v>
      </c>
      <c r="G45" s="731">
        <f>Input!J129/Input!$J$181</f>
        <v>8.9944075568656866E-3</v>
      </c>
    </row>
    <row r="46" spans="1:7" x14ac:dyDescent="0.25">
      <c r="A46" s="483" t="s">
        <v>50</v>
      </c>
      <c r="B46" s="731">
        <f>Input!E131/Input!$E$181</f>
        <v>2.4588951920384307E-5</v>
      </c>
      <c r="C46" s="731">
        <f>Input!F131/Input!$F$181</f>
        <v>2.082709514449379E-4</v>
      </c>
      <c r="D46" s="731">
        <f>Input!G131/Input!$G$181</f>
        <v>7.5834811101462354E-5</v>
      </c>
      <c r="E46" s="731">
        <f>Input!H131/Input!$H$181</f>
        <v>7.1596343207796544E-5</v>
      </c>
      <c r="F46" s="731">
        <f>Input!I131/Input!$I$181</f>
        <v>6.4203242878424751E-5</v>
      </c>
      <c r="G46" s="731">
        <f>Input!J131/Input!$J$181</f>
        <v>5.5682186285900246E-5</v>
      </c>
    </row>
    <row r="47" spans="1:7" x14ac:dyDescent="0.25">
      <c r="A47" s="707" t="s">
        <v>51</v>
      </c>
      <c r="B47" s="731">
        <f>Input!E133/Input!$E$181</f>
        <v>0</v>
      </c>
      <c r="C47" s="731">
        <f>Input!F133/Input!$F$181</f>
        <v>0</v>
      </c>
      <c r="D47" s="731">
        <f>Input!G133/Input!$G$181</f>
        <v>0</v>
      </c>
      <c r="E47" s="731">
        <f>Input!H133/Input!$H$181</f>
        <v>0</v>
      </c>
      <c r="F47" s="731">
        <f>Input!I133/Input!$I$181</f>
        <v>0</v>
      </c>
      <c r="G47" s="731">
        <f>Input!J133/Input!$J$181</f>
        <v>0</v>
      </c>
    </row>
    <row r="48" spans="1:7" x14ac:dyDescent="0.25">
      <c r="A48" s="708" t="s">
        <v>52</v>
      </c>
      <c r="B48" s="731">
        <f>Input!E135/Input!$E$181</f>
        <v>1.521962840833372E-2</v>
      </c>
      <c r="C48" s="731">
        <f>Input!F135/Input!$F$181</f>
        <v>1.3574960452236572E-2</v>
      </c>
      <c r="D48" s="731">
        <f>Input!G135/Input!$G$181</f>
        <v>1.4630620315796686E-2</v>
      </c>
      <c r="E48" s="731">
        <f>Input!H135/Input!$H$181</f>
        <v>1.3812903312586227E-2</v>
      </c>
      <c r="F48" s="731">
        <f>Input!I135/Input!$I$181</f>
        <v>1.2386570968579843E-2</v>
      </c>
      <c r="G48" s="731">
        <f>Input!J135/Input!$J$181</f>
        <v>1.074262484563317E-2</v>
      </c>
    </row>
    <row r="49" spans="1:7" x14ac:dyDescent="0.25">
      <c r="A49" s="711" t="s">
        <v>53</v>
      </c>
      <c r="B49" s="731">
        <f>Input!E138/Input!$E$181</f>
        <v>0.57255367221073661</v>
      </c>
      <c r="C49" s="731">
        <f>Input!F138/Input!$F$181</f>
        <v>0.70740952549163483</v>
      </c>
      <c r="D49" s="731">
        <f>Input!G138/Input!$G$181</f>
        <v>0.73181018095164563</v>
      </c>
      <c r="E49" s="731">
        <f>Input!H138/Input!$H$181</f>
        <v>0.71001100610888812</v>
      </c>
      <c r="F49" s="731">
        <f>Input!I138/Input!$I$181</f>
        <v>0.68394935747482699</v>
      </c>
      <c r="G49" s="731">
        <f>Input!J138/Input!$J$181</f>
        <v>0.66571101639535701</v>
      </c>
    </row>
    <row r="50" spans="1:7" x14ac:dyDescent="0.25">
      <c r="A50" s="646" t="s">
        <v>54</v>
      </c>
      <c r="B50" s="731">
        <f>Input!E141/Input!$E$181</f>
        <v>7.7935417345948194E-2</v>
      </c>
      <c r="C50" s="731">
        <f>Input!F141/Input!$F$181</f>
        <v>5.8368559181487305E-2</v>
      </c>
      <c r="D50" s="731">
        <f>Input!G141/Input!$G$181</f>
        <v>5.2033056299054005E-2</v>
      </c>
      <c r="E50" s="731">
        <f>Input!H141/Input!$H$181</f>
        <v>5.1581131778003775E-2</v>
      </c>
      <c r="F50" s="731">
        <f>Input!I141/Input!$I$181</f>
        <v>4.8567560468408259E-2</v>
      </c>
      <c r="G50" s="731">
        <f>Input!J141/Input!$J$181</f>
        <v>4.62499044934013E-2</v>
      </c>
    </row>
    <row r="51" spans="1:7" x14ac:dyDescent="0.25">
      <c r="A51" s="709" t="s">
        <v>55</v>
      </c>
      <c r="B51" s="731">
        <f>Input!E143/Input!$E$181</f>
        <v>0.52073039514200437</v>
      </c>
      <c r="C51" s="731">
        <f>Input!F143/Input!$F$181</f>
        <v>0.495015611227348</v>
      </c>
      <c r="D51" s="731">
        <f>Input!G143/Input!$G$181</f>
        <v>0.44626268230207106</v>
      </c>
      <c r="E51" s="731">
        <f>Input!H143/Input!$H$181</f>
        <v>0.46345277674920343</v>
      </c>
      <c r="F51" s="731">
        <f>Input!I143/Input!$I$181</f>
        <v>0.49871549057107578</v>
      </c>
      <c r="G51" s="731">
        <f>Input!J143/Input!$J$181</f>
        <v>0.53925263134770107</v>
      </c>
    </row>
    <row r="52" spans="1:7" x14ac:dyDescent="0.25">
      <c r="A52" s="707" t="s">
        <v>56</v>
      </c>
      <c r="B52" s="731">
        <f>Input!E145/Input!$E$181</f>
        <v>1.2152935079026917E-2</v>
      </c>
      <c r="C52" s="731">
        <f>Input!F145/Input!$F$181</f>
        <v>1.0899726000393265E-2</v>
      </c>
      <c r="D52" s="731">
        <f>Input!G145/Input!$G$181</f>
        <v>1.0491977799478901E-2</v>
      </c>
      <c r="E52" s="731">
        <f>Input!H145/Input!$H$181</f>
        <v>1.1391408740021584E-2</v>
      </c>
      <c r="F52" s="731">
        <f>Input!I145/Input!$I$181</f>
        <v>1.2258146424160506E-2</v>
      </c>
      <c r="G52" s="731">
        <f>Input!J145/Input!$J$181</f>
        <v>1.3738422392557561E-2</v>
      </c>
    </row>
    <row r="53" spans="1:7" x14ac:dyDescent="0.25">
      <c r="A53" s="283" t="s">
        <v>57</v>
      </c>
      <c r="B53" s="731">
        <f>Input!E147/Input!$E$181</f>
        <v>0.20619937137017416</v>
      </c>
      <c r="C53" s="731">
        <f>Input!F147/Input!$F$181</f>
        <v>1.9279179392953524E-2</v>
      </c>
      <c r="D53" s="731">
        <f>Input!G147/Input!$G$181</f>
        <v>2.4253258529041272E-2</v>
      </c>
      <c r="E53" s="731">
        <f>Input!H147/Input!$H$181</f>
        <v>5.777968074918078E-2</v>
      </c>
      <c r="F53" s="731">
        <f>Input!I147/Input!$I$181</f>
        <v>5.1813300936485979E-2</v>
      </c>
      <c r="G53" s="731">
        <f>Input!J147/Input!$J$181</f>
        <v>2.2468318931303865E-2</v>
      </c>
    </row>
    <row r="54" spans="1:7" x14ac:dyDescent="0.25">
      <c r="A54" s="710" t="s">
        <v>58</v>
      </c>
      <c r="B54" s="731">
        <f>Input!E149/Input!$E$181</f>
        <v>0.81701811893715359</v>
      </c>
      <c r="C54" s="731">
        <f>Input!F149/Input!$F$181</f>
        <v>0.58356307580218214</v>
      </c>
      <c r="D54" s="731">
        <f>Input!G149/Input!$G$181</f>
        <v>0.53304097492964519</v>
      </c>
      <c r="E54" s="731">
        <f>Input!H149/Input!$H$181</f>
        <v>0.58420499801640957</v>
      </c>
      <c r="F54" s="731">
        <f>Input!I149/Input!$I$181</f>
        <v>0.61135449840013045</v>
      </c>
      <c r="G54" s="731">
        <f>Input!J149/Input!$J$181</f>
        <v>0.62170927716496382</v>
      </c>
    </row>
    <row r="55" spans="1:7" x14ac:dyDescent="0.25">
      <c r="A55" s="709" t="s">
        <v>59</v>
      </c>
      <c r="B55" s="731">
        <f>Input!E151/Input!$E$181</f>
        <v>-0.42487905356738964</v>
      </c>
      <c r="C55" s="731">
        <f>Input!F151/Input!$F$181</f>
        <v>-0.31125731674733415</v>
      </c>
      <c r="D55" s="731">
        <f>Input!G151/Input!$G$181</f>
        <v>-0.2984115798257147</v>
      </c>
      <c r="E55" s="731">
        <f>Input!H151/Input!$H$181</f>
        <v>-0.3123266082417418</v>
      </c>
      <c r="F55" s="731">
        <f>Input!I151/Input!$I$181</f>
        <v>-0.31154434334494396</v>
      </c>
      <c r="G55" s="731">
        <f>Input!J151/Input!$J$181</f>
        <v>-0.30150534297737297</v>
      </c>
    </row>
    <row r="56" spans="1:7" x14ac:dyDescent="0.25">
      <c r="A56" s="714" t="s">
        <v>60</v>
      </c>
      <c r="B56" s="731">
        <f>Input!E154/Input!$E$181</f>
        <v>0.39213906536976395</v>
      </c>
      <c r="C56" s="731">
        <f>Input!F154/Input!$F$181</f>
        <v>0.27230575905484794</v>
      </c>
      <c r="D56" s="731">
        <f>Input!G154/Input!$G$181</f>
        <v>0.23462939510393055</v>
      </c>
      <c r="E56" s="731">
        <f>Input!H154/Input!$H$181</f>
        <v>0.27187838977466772</v>
      </c>
      <c r="F56" s="731">
        <f>Input!I154/Input!$I$181</f>
        <v>0.29981015505518654</v>
      </c>
      <c r="G56" s="731">
        <f>Input!J154/Input!$J$181</f>
        <v>0.3202039341875908</v>
      </c>
    </row>
    <row r="57" spans="1:7" x14ac:dyDescent="0.25">
      <c r="A57" s="283" t="s">
        <v>61</v>
      </c>
      <c r="B57" s="731">
        <f>Input!E157/Input!$E$181</f>
        <v>3.3536193205979636E-5</v>
      </c>
      <c r="C57" s="731">
        <f>Input!F157/Input!$F$181</f>
        <v>2.3176257305305507E-5</v>
      </c>
      <c r="D57" s="731">
        <f>Input!G157/Input!$G$181</f>
        <v>2.0359269560620501E-5</v>
      </c>
      <c r="E57" s="731">
        <f>Input!H157/Input!$H$181</f>
        <v>1.9221373795894138E-5</v>
      </c>
      <c r="F57" s="731">
        <f>Input!I157/Input!$I$181</f>
        <v>1.7236558111537666E-5</v>
      </c>
      <c r="G57" s="731">
        <f>Input!J157/Input!$J$181</f>
        <v>1.494892152896084E-5</v>
      </c>
    </row>
    <row r="58" spans="1:7" x14ac:dyDescent="0.25">
      <c r="A58" s="707" t="s">
        <v>62</v>
      </c>
      <c r="B58" s="731">
        <f>Input!E159/Input!$E$181</f>
        <v>0</v>
      </c>
      <c r="C58" s="731">
        <f>Input!F159/Input!$F$181</f>
        <v>0</v>
      </c>
      <c r="D58" s="731">
        <f>Input!G159/Input!$G$181</f>
        <v>0</v>
      </c>
      <c r="E58" s="731">
        <f>Input!H159/Input!$H$181</f>
        <v>0</v>
      </c>
      <c r="F58" s="731">
        <f>Input!I159/Input!$I$181</f>
        <v>0</v>
      </c>
      <c r="G58" s="731">
        <f>Input!J159/Input!$J$181</f>
        <v>0</v>
      </c>
    </row>
    <row r="59" spans="1:7" x14ac:dyDescent="0.25">
      <c r="A59" s="721" t="s">
        <v>1782</v>
      </c>
      <c r="B59" s="731">
        <f>Input!E161/Input!$E$181</f>
        <v>6.2965204125546952E-3</v>
      </c>
      <c r="C59" s="731">
        <f>Input!F161/Input!$F$181</f>
        <v>9.791829375275314E-4</v>
      </c>
      <c r="D59" s="731">
        <f>Input!G161/Input!$G$181</f>
        <v>1.320112051968763E-2</v>
      </c>
      <c r="E59" s="731">
        <f>Input!H161/Input!$H$181</f>
        <v>1.2463299396770242E-2</v>
      </c>
      <c r="F59" s="731">
        <f>Input!I161/Input!$I$181</f>
        <v>1.1176328320497628E-2</v>
      </c>
      <c r="G59" s="731">
        <f>Input!J161/Input!$J$181</f>
        <v>9.6930056432314657E-3</v>
      </c>
    </row>
    <row r="60" spans="1:7" x14ac:dyDescent="0.25">
      <c r="A60" s="646" t="s">
        <v>63</v>
      </c>
      <c r="B60" s="731">
        <f>Input!E163/Input!$E$181</f>
        <v>1.9840104646041572E-2</v>
      </c>
      <c r="C60" s="731">
        <f>Input!F163/Input!$F$181</f>
        <v>4.9847025113656327E-3</v>
      </c>
      <c r="D60" s="731">
        <f>Input!G163/Input!$G$181</f>
        <v>9.0515309179674194E-3</v>
      </c>
      <c r="E60" s="731">
        <f>Input!H163/Input!$H$181</f>
        <v>0</v>
      </c>
      <c r="F60" s="731">
        <f>Input!I163/Input!$I$181</f>
        <v>0</v>
      </c>
      <c r="G60" s="731">
        <f>Input!J163/Input!$J$181</f>
        <v>0</v>
      </c>
    </row>
    <row r="61" spans="1:7" x14ac:dyDescent="0.25">
      <c r="A61" s="706" t="s">
        <v>1775</v>
      </c>
      <c r="B61" s="731">
        <f>Input!E165/Input!$E$181</f>
        <v>9.1371011676971824E-3</v>
      </c>
      <c r="C61" s="731">
        <f>Input!F165/Input!$F$181</f>
        <v>1.429765374731872E-2</v>
      </c>
      <c r="D61" s="731">
        <f>Input!G165/Input!$G$181</f>
        <v>1.1287413237208161E-2</v>
      </c>
      <c r="E61" s="731">
        <f>Input!H165/Input!$H$181</f>
        <v>5.6280833458781142E-3</v>
      </c>
      <c r="F61" s="731">
        <f>Input!I165/Input!$I$181</f>
        <v>5.0469225913772845E-3</v>
      </c>
      <c r="G61" s="731">
        <f>Input!J165/Input!$J$181</f>
        <v>4.3770948522917257E-3</v>
      </c>
    </row>
    <row r="62" spans="1:7" x14ac:dyDescent="0.25">
      <c r="A62" s="283" t="s">
        <v>64</v>
      </c>
      <c r="B62" s="731">
        <f>Input!E168/Input!$E$181</f>
        <v>0</v>
      </c>
      <c r="C62" s="731">
        <f>Input!F168/Input!$F$181</f>
        <v>0</v>
      </c>
      <c r="D62" s="731">
        <f>Input!G168/Input!$G$181</f>
        <v>0</v>
      </c>
      <c r="E62" s="731">
        <f>Input!H168/Input!$H$181</f>
        <v>0</v>
      </c>
      <c r="F62" s="731">
        <f>Input!I168/Input!$I$181</f>
        <v>0</v>
      </c>
      <c r="G62" s="731">
        <f>Input!J168/Input!$J$181</f>
        <v>0</v>
      </c>
    </row>
    <row r="63" spans="1:7" x14ac:dyDescent="0.25">
      <c r="A63" s="646" t="s">
        <v>65</v>
      </c>
      <c r="B63" s="731">
        <f>Input!E170/Input!$E$181</f>
        <v>0</v>
      </c>
      <c r="C63" s="731">
        <f>Input!F170/Input!$F$181</f>
        <v>0</v>
      </c>
      <c r="D63" s="731">
        <f>Input!G170/Input!$G$181</f>
        <v>0</v>
      </c>
      <c r="E63" s="731">
        <f>Input!H170/Input!$H$181</f>
        <v>0</v>
      </c>
      <c r="F63" s="731">
        <f>Input!I170/Input!$I$181</f>
        <v>0</v>
      </c>
      <c r="G63" s="731">
        <f>Input!J170/Input!$J$181</f>
        <v>0</v>
      </c>
    </row>
    <row r="64" spans="1:7" x14ac:dyDescent="0.25">
      <c r="A64" s="283" t="s">
        <v>66</v>
      </c>
      <c r="B64" s="731">
        <f>Input!E172/Input!$E$181</f>
        <v>0</v>
      </c>
      <c r="C64" s="731">
        <f>Input!F172/Input!$F$181</f>
        <v>0</v>
      </c>
      <c r="D64" s="731">
        <f>Input!G172/Input!$G$181</f>
        <v>0</v>
      </c>
      <c r="E64" s="731">
        <f>Input!H172/Input!$H$181</f>
        <v>0</v>
      </c>
      <c r="F64" s="731">
        <f>Input!I172/Input!$I$181</f>
        <v>0</v>
      </c>
      <c r="G64" s="731">
        <f>Input!J172/Input!$J$181</f>
        <v>0</v>
      </c>
    </row>
    <row r="65" spans="1:7" x14ac:dyDescent="0.25">
      <c r="A65" s="712" t="s">
        <v>67</v>
      </c>
      <c r="B65" s="731">
        <f>Input!E175/Input!$E$181</f>
        <v>0</v>
      </c>
      <c r="C65" s="731">
        <f>Input!F175/Input!$F$181</f>
        <v>0</v>
      </c>
      <c r="D65" s="731">
        <f>Input!G175/Input!$G$181</f>
        <v>0</v>
      </c>
      <c r="E65" s="731">
        <f>Input!H175/Input!$H$181</f>
        <v>0</v>
      </c>
      <c r="F65" s="731">
        <f>Input!I175/Input!$I$181</f>
        <v>0</v>
      </c>
      <c r="G65" s="731">
        <f>Input!J175/Input!$J$181</f>
        <v>0</v>
      </c>
    </row>
    <row r="66" spans="1:7" x14ac:dyDescent="0.25">
      <c r="A66" s="711" t="s">
        <v>68</v>
      </c>
      <c r="B66" s="731">
        <f>Input!E178/Input!$E$181</f>
        <v>0.42744632778926339</v>
      </c>
      <c r="C66" s="731">
        <f>Input!F178/Input!$F$181</f>
        <v>0.29259047450836517</v>
      </c>
      <c r="D66" s="731">
        <f>Input!G178/Input!$G$181</f>
        <v>0.26818981904835437</v>
      </c>
      <c r="E66" s="731">
        <f>Input!H178/Input!$H$181</f>
        <v>0.28998899389111199</v>
      </c>
      <c r="F66" s="731">
        <f>Input!I178/Input!$I$181</f>
        <v>0.31605064252517295</v>
      </c>
      <c r="G66" s="731">
        <f>Input!J178/Input!$J$181</f>
        <v>0.33428898360464299</v>
      </c>
    </row>
    <row r="67" spans="1:7" x14ac:dyDescent="0.25">
      <c r="A67" s="712" t="s">
        <v>69</v>
      </c>
      <c r="B67" s="731">
        <f>Input!E181/Input!$E$181</f>
        <v>1</v>
      </c>
      <c r="C67" s="731">
        <f>Input!F181/Input!$F$181</f>
        <v>1</v>
      </c>
      <c r="D67" s="731">
        <f>Input!G181/Input!$G$181</f>
        <v>1</v>
      </c>
      <c r="E67" s="731">
        <f>Input!H181/Input!$H$181</f>
        <v>1</v>
      </c>
      <c r="F67" s="731">
        <f>Input!I181/Input!$I$181</f>
        <v>1</v>
      </c>
      <c r="G67" s="731">
        <f>Input!J181/Input!$J$181</f>
        <v>1</v>
      </c>
    </row>
    <row r="68" spans="1:7" x14ac:dyDescent="0.25">
      <c r="A68" s="708" t="s">
        <v>72</v>
      </c>
      <c r="B68" s="731">
        <f>Input!E191/Input!$E$181</f>
        <v>0</v>
      </c>
      <c r="C68" s="731">
        <f>Input!F191/Input!$F$181</f>
        <v>0</v>
      </c>
      <c r="D68" s="731">
        <f>Input!G191/Input!$G$181</f>
        <v>3.7866884370117683E-2</v>
      </c>
      <c r="E68" s="731">
        <f>Input!H191/Input!$H$181</f>
        <v>0</v>
      </c>
      <c r="F68" s="731">
        <f>Input!I191/Input!$I$181</f>
        <v>0</v>
      </c>
      <c r="G68" s="731">
        <f>Input!J191/Input!$J$181</f>
        <v>5.0390783338095596E-3</v>
      </c>
    </row>
    <row r="69" spans="1:7" x14ac:dyDescent="0.25">
      <c r="A69" s="715" t="s">
        <v>73</v>
      </c>
      <c r="B69" s="731">
        <f>Input!E193/Input!$E$181</f>
        <v>9.0384052936075838E-3</v>
      </c>
      <c r="C69" s="731">
        <f>Input!F193/Input!$F$181</f>
        <v>6.4301220777677791E-3</v>
      </c>
      <c r="D69" s="731">
        <f>Input!G193/Input!$G$181</f>
        <v>3.0906162715726281E-3</v>
      </c>
      <c r="E69" s="731">
        <f>Input!H193/Input!$H$181</f>
        <v>1.5361721937678595E-2</v>
      </c>
      <c r="F69" s="731">
        <f>Input!I193/Input!$I$181</f>
        <v>1.3775457242740905E-2</v>
      </c>
      <c r="G69" s="731">
        <f>Input!J193/Input!$J$181</f>
        <v>1.1947178085945502E-2</v>
      </c>
    </row>
    <row r="70" spans="1:7" x14ac:dyDescent="0.25">
      <c r="A70" s="646" t="s">
        <v>74</v>
      </c>
      <c r="B70" s="731">
        <f>Input!E195/Input!$E$181</f>
        <v>0</v>
      </c>
      <c r="C70" s="731">
        <f>Input!F195/Input!$F$181</f>
        <v>0</v>
      </c>
      <c r="D70" s="731">
        <f>Input!G195/Input!$G$181</f>
        <v>0</v>
      </c>
      <c r="E70" s="731">
        <f>Input!H195/Input!$H$181</f>
        <v>0</v>
      </c>
      <c r="F70" s="731">
        <f>Input!I195/Input!$I$181</f>
        <v>0</v>
      </c>
      <c r="G70" s="731">
        <f>Input!J195/Input!$J$181</f>
        <v>0</v>
      </c>
    </row>
    <row r="71" spans="1:7" x14ac:dyDescent="0.25">
      <c r="A71" s="729" t="s">
        <v>75</v>
      </c>
      <c r="B71" s="731">
        <f>Input!E197/Input!$E$181</f>
        <v>0</v>
      </c>
      <c r="C71" s="731">
        <f>Input!F197/Input!$F$181</f>
        <v>0</v>
      </c>
      <c r="D71" s="731">
        <f>Input!G197/Input!$G$181</f>
        <v>0</v>
      </c>
      <c r="E71" s="731">
        <f>Input!H197/Input!$H$181</f>
        <v>0</v>
      </c>
      <c r="F71" s="731">
        <f>Input!I197/Input!$I$181</f>
        <v>0</v>
      </c>
      <c r="G71" s="731">
        <f>Input!J197/Input!$J$181</f>
        <v>0</v>
      </c>
    </row>
    <row r="72" spans="1:7" x14ac:dyDescent="0.25">
      <c r="A72" s="648" t="s">
        <v>3096</v>
      </c>
      <c r="B72" s="731">
        <f>Input!E199/Input!$E$181</f>
        <v>0</v>
      </c>
      <c r="C72" s="731">
        <f>Input!F199/Input!$F$181</f>
        <v>0</v>
      </c>
      <c r="D72" s="731">
        <f>Input!G199/Input!$G$181</f>
        <v>0</v>
      </c>
      <c r="E72" s="731">
        <f>Input!H199/Input!$H$181</f>
        <v>0</v>
      </c>
      <c r="F72" s="731">
        <f>Input!I199/Input!$I$181</f>
        <v>0</v>
      </c>
      <c r="G72" s="731">
        <f>Input!J199/Input!$J$181</f>
        <v>0</v>
      </c>
    </row>
    <row r="73" spans="1:7" x14ac:dyDescent="0.25">
      <c r="A73" s="706" t="s">
        <v>391</v>
      </c>
      <c r="B73" s="731">
        <f>Input!E201/Input!$E$181</f>
        <v>5.4521521886265405E-2</v>
      </c>
      <c r="C73" s="731">
        <f>Input!F201/Input!$F$181</f>
        <v>2.5998082745740007E-2</v>
      </c>
      <c r="D73" s="731">
        <f>Input!G201/Input!$G$181</f>
        <v>2.8229521794565015E-2</v>
      </c>
      <c r="E73" s="731">
        <f>Input!H201/Input!$H$181</f>
        <v>1.9808368251523704E-2</v>
      </c>
      <c r="F73" s="731">
        <f>Input!I201/Input!$I$181</f>
        <v>1.9539232913131536E-2</v>
      </c>
      <c r="G73" s="731">
        <f>Input!J201/Input!$J$181</f>
        <v>1.9487883039875656E-2</v>
      </c>
    </row>
    <row r="74" spans="1:7" x14ac:dyDescent="0.25">
      <c r="A74" s="648" t="s">
        <v>392</v>
      </c>
      <c r="B74" s="731">
        <f>Input!E203/Input!$E$181</f>
        <v>6.6585587397432477E-3</v>
      </c>
      <c r="C74" s="731">
        <f>Input!F203/Input!$F$181</f>
        <v>7.3954642844797167E-3</v>
      </c>
      <c r="D74" s="731">
        <f>Input!G203/Input!$G$181</f>
        <v>1.164774742034611E-2</v>
      </c>
      <c r="E74" s="731">
        <f>Input!H203/Input!$H$181</f>
        <v>7.6186031736629641E-3</v>
      </c>
      <c r="F74" s="731">
        <f>Input!I203/Input!$I$181</f>
        <v>7.5150895819736689E-3</v>
      </c>
      <c r="G74" s="731">
        <f>Input!J203/Input!$J$181</f>
        <v>7.495339630721405E-3</v>
      </c>
    </row>
    <row r="75" spans="1:7" x14ac:dyDescent="0.25">
      <c r="A75" s="646" t="s">
        <v>76</v>
      </c>
      <c r="B75" s="731">
        <f>Input!E205/Input!$E$181</f>
        <v>2.8514068969360172E-2</v>
      </c>
      <c r="C75" s="731">
        <f>Input!F205/Input!$F$181</f>
        <v>2.1010859177768099E-2</v>
      </c>
      <c r="D75" s="731">
        <f>Input!G205/Input!$G$181</f>
        <v>2.2433329550970011E-2</v>
      </c>
      <c r="E75" s="731">
        <f>Input!H205/Input!$H$181</f>
        <v>2.141435243170222E-2</v>
      </c>
      <c r="F75" s="731">
        <f>Input!I205/Input!$I$181</f>
        <v>2.1123396664171394E-2</v>
      </c>
      <c r="G75" s="731">
        <f>Input!J205/Input!$J$181</f>
        <v>2.0701485571500488E-2</v>
      </c>
    </row>
    <row r="76" spans="1:7" x14ac:dyDescent="0.25">
      <c r="A76" s="647" t="s">
        <v>77</v>
      </c>
      <c r="B76" s="731">
        <f>Input!E207/Input!$E$181</f>
        <v>0.30308978316634611</v>
      </c>
      <c r="C76" s="731">
        <f>Input!F207/Input!$F$181</f>
        <v>0.46144403942260187</v>
      </c>
      <c r="D76" s="731">
        <f>Input!G207/Input!$G$181</f>
        <v>0.48320956269685167</v>
      </c>
      <c r="E76" s="731">
        <f>Input!H207/Input!$H$181</f>
        <v>0.35045574598849633</v>
      </c>
      <c r="F76" s="731">
        <f>Input!I207/Input!$I$181</f>
        <v>0.3456941207707887</v>
      </c>
      <c r="G76" s="731">
        <f>Input!J207/Input!$J$181</f>
        <v>0.34478562301318466</v>
      </c>
    </row>
    <row r="77" spans="1:7" x14ac:dyDescent="0.25">
      <c r="A77" s="646" t="s">
        <v>78</v>
      </c>
      <c r="B77" s="731">
        <f>Input!E209/Input!$E$181</f>
        <v>3.2232278459343143E-2</v>
      </c>
      <c r="C77" s="731">
        <f>Input!F209/Input!$F$181</f>
        <v>3.6515731656336384E-2</v>
      </c>
      <c r="D77" s="731">
        <f>Input!G209/Input!$G$181</f>
        <v>3.207979014960749E-2</v>
      </c>
      <c r="E77" s="731">
        <f>Input!H209/Input!$H$181</f>
        <v>0</v>
      </c>
      <c r="F77" s="731">
        <f>Input!I209/Input!$I$181</f>
        <v>0</v>
      </c>
      <c r="G77" s="731">
        <f>Input!J209/Input!$J$181</f>
        <v>0</v>
      </c>
    </row>
    <row r="78" spans="1:7" x14ac:dyDescent="0.25">
      <c r="A78" s="718" t="s">
        <v>79</v>
      </c>
      <c r="B78" s="731">
        <f>Input!E211/Input!$E$181</f>
        <v>0</v>
      </c>
      <c r="C78" s="731">
        <f>Input!F211/Input!$F$181</f>
        <v>0</v>
      </c>
      <c r="D78" s="731">
        <f>Input!G211/Input!$G$181</f>
        <v>0</v>
      </c>
      <c r="E78" s="731">
        <f>Input!H211/Input!$H$181</f>
        <v>0</v>
      </c>
      <c r="F78" s="731">
        <f>Input!I211/Input!$I$181</f>
        <v>0</v>
      </c>
      <c r="G78" s="731">
        <f>Input!J211/Input!$J$181</f>
        <v>0</v>
      </c>
    </row>
    <row r="79" spans="1:7" x14ac:dyDescent="0.25">
      <c r="A79" s="647" t="s">
        <v>80</v>
      </c>
      <c r="B79" s="731">
        <f>Input!E213/Input!$E$181</f>
        <v>0</v>
      </c>
      <c r="C79" s="731">
        <f>Input!F213/Input!$F$181</f>
        <v>0</v>
      </c>
      <c r="D79" s="731">
        <f>Input!G213/Input!$G$181</f>
        <v>0</v>
      </c>
      <c r="E79" s="731">
        <f>Input!H213/Input!$H$181</f>
        <v>0</v>
      </c>
      <c r="F79" s="731">
        <f>Input!I213/Input!$I$181</f>
        <v>0</v>
      </c>
      <c r="G79" s="731">
        <f>Input!J213/Input!$J$181</f>
        <v>0</v>
      </c>
    </row>
    <row r="80" spans="1:7" x14ac:dyDescent="0.25">
      <c r="A80" s="646" t="s">
        <v>81</v>
      </c>
      <c r="B80" s="731">
        <f>Input!E215/Input!$E$181</f>
        <v>2.3332223068036229E-2</v>
      </c>
      <c r="C80" s="731">
        <f>Input!F215/Input!$F$181</f>
        <v>9.4208002540660286E-3</v>
      </c>
      <c r="D80" s="731">
        <f>Input!G215/Input!$G$181</f>
        <v>7.3406709125473178E-3</v>
      </c>
      <c r="E80" s="731">
        <f>Input!H215/Input!$H$181</f>
        <v>6.9303949781987662E-3</v>
      </c>
      <c r="F80" s="731">
        <f>Input!I215/Input!$I$181</f>
        <v>6.2147563980649917E-3</v>
      </c>
      <c r="G80" s="731">
        <f>Input!J215/Input!$J$181</f>
        <v>5.3899337161804712E-3</v>
      </c>
    </row>
    <row r="81" spans="1:7" x14ac:dyDescent="0.25">
      <c r="A81" s="654" t="s">
        <v>82</v>
      </c>
      <c r="B81" s="731">
        <f>Input!E218/Input!$E$181</f>
        <v>0.45738683958270188</v>
      </c>
      <c r="C81" s="731">
        <f>Input!F218/Input!$F$181</f>
        <v>0.56821509961875993</v>
      </c>
      <c r="D81" s="731">
        <f>Input!G218/Input!$G$181</f>
        <v>0.62589812316657789</v>
      </c>
      <c r="E81" s="731">
        <f>Input!H218/Input!$H$181</f>
        <v>0.42158918676126256</v>
      </c>
      <c r="F81" s="731">
        <f>Input!I218/Input!$I$181</f>
        <v>0.41386205357087125</v>
      </c>
      <c r="G81" s="731">
        <f>Input!J218/Input!$J$181</f>
        <v>0.41484652139121769</v>
      </c>
    </row>
    <row r="82" spans="1:7" x14ac:dyDescent="0.25">
      <c r="A82" s="646" t="s">
        <v>83</v>
      </c>
      <c r="B82" s="731">
        <f>Input!E221/Input!$E$181</f>
        <v>0</v>
      </c>
      <c r="C82" s="731">
        <f>Input!F221/Input!$F$181</f>
        <v>0</v>
      </c>
      <c r="D82" s="731">
        <f>Input!G221/Input!$G$181</f>
        <v>0</v>
      </c>
      <c r="E82" s="731">
        <f>Input!H221/Input!$H$181</f>
        <v>0</v>
      </c>
      <c r="F82" s="731">
        <f>Input!I221/Input!$I$181</f>
        <v>0</v>
      </c>
      <c r="G82" s="731">
        <f>Input!J221/Input!$J$181</f>
        <v>0</v>
      </c>
    </row>
    <row r="83" spans="1:7" x14ac:dyDescent="0.25">
      <c r="A83" s="713" t="s">
        <v>84</v>
      </c>
      <c r="B83" s="731">
        <f>Input!E223/Input!$E$181</f>
        <v>1.3557623734009379E-2</v>
      </c>
      <c r="C83" s="731">
        <f>Input!F223/Input!$F$181</f>
        <v>3.2150721857811906E-3</v>
      </c>
      <c r="D83" s="731">
        <f>Input!G223/Input!$G$181</f>
        <v>0</v>
      </c>
      <c r="E83" s="731">
        <f>Input!H223/Input!$H$181</f>
        <v>6.1446887750714378E-2</v>
      </c>
      <c r="F83" s="731">
        <f>Input!I223/Input!$I$181</f>
        <v>4.1326371728222712E-2</v>
      </c>
      <c r="G83" s="731">
        <f>Input!J223/Input!$J$181</f>
        <v>2.3894356171891003E-2</v>
      </c>
    </row>
    <row r="84" spans="1:7" x14ac:dyDescent="0.25">
      <c r="A84" s="651" t="s">
        <v>85</v>
      </c>
      <c r="B84" s="731">
        <f>Input!E225/Input!$E$181</f>
        <v>0</v>
      </c>
      <c r="C84" s="731">
        <f>Input!F225/Input!$F$181</f>
        <v>0</v>
      </c>
      <c r="D84" s="731">
        <f>Input!G225/Input!$G$181</f>
        <v>0</v>
      </c>
      <c r="E84" s="731">
        <f>Input!H225/Input!$H$181</f>
        <v>0</v>
      </c>
      <c r="F84" s="731">
        <f>Input!I225/Input!$I$181</f>
        <v>0</v>
      </c>
      <c r="G84" s="731">
        <f>Input!J225/Input!$J$181</f>
        <v>0</v>
      </c>
    </row>
    <row r="85" spans="1:7" x14ac:dyDescent="0.25">
      <c r="A85" s="717" t="s">
        <v>86</v>
      </c>
      <c r="B85" s="731">
        <f>Input!E228/Input!$E$181</f>
        <v>1.3557623734009379E-2</v>
      </c>
      <c r="C85" s="731">
        <f>Input!F228/Input!$F$181</f>
        <v>3.2150721857811906E-3</v>
      </c>
      <c r="D85" s="731">
        <f>Input!G228/Input!$G$181</f>
        <v>0</v>
      </c>
      <c r="E85" s="731">
        <f>Input!H228/Input!$H$181</f>
        <v>6.1446887750714378E-2</v>
      </c>
      <c r="F85" s="731">
        <f>Input!I228/Input!$I$181</f>
        <v>4.1326371728222712E-2</v>
      </c>
      <c r="G85" s="731">
        <f>Input!J228/Input!$J$181</f>
        <v>2.3894356171891003E-2</v>
      </c>
    </row>
    <row r="86" spans="1:7" x14ac:dyDescent="0.25">
      <c r="A86" s="728" t="s">
        <v>87</v>
      </c>
      <c r="B86" s="731">
        <f>Input!E231/Input!$E$181</f>
        <v>0</v>
      </c>
      <c r="C86" s="731">
        <f>Input!F231/Input!$F$181</f>
        <v>0</v>
      </c>
      <c r="D86" s="731">
        <f>Input!G231/Input!$G$181</f>
        <v>0</v>
      </c>
      <c r="E86" s="731">
        <f>Input!H231/Input!$H$181</f>
        <v>0</v>
      </c>
      <c r="F86" s="731">
        <f>Input!I231/Input!$I$181</f>
        <v>0</v>
      </c>
      <c r="G86" s="731">
        <f>Input!J231/Input!$J$181</f>
        <v>0</v>
      </c>
    </row>
    <row r="87" spans="1:7" x14ac:dyDescent="0.25">
      <c r="A87" s="218" t="s">
        <v>88</v>
      </c>
      <c r="B87" s="731">
        <f>Input!E233/Input!$E$181</f>
        <v>1.2785957944543788E-2</v>
      </c>
      <c r="C87" s="731">
        <f>Input!F233/Input!$F$181</f>
        <v>1.0700603400454192E-2</v>
      </c>
      <c r="D87" s="731">
        <f>Input!G233/Input!$G$181</f>
        <v>1.0538297789738374E-2</v>
      </c>
      <c r="E87" s="731">
        <f>Input!H233/Input!$H$181</f>
        <v>9.9493039465818993E-3</v>
      </c>
      <c r="F87" s="731">
        <f>Input!I233/Input!$I$181</f>
        <v>8.9219302150630973E-3</v>
      </c>
      <c r="G87" s="731">
        <f>Input!J233/Input!$J$181</f>
        <v>7.7378113315190603E-3</v>
      </c>
    </row>
    <row r="88" spans="1:7" x14ac:dyDescent="0.25">
      <c r="A88" s="707" t="s">
        <v>89</v>
      </c>
      <c r="B88" s="731">
        <f>Input!E235/Input!$E$181</f>
        <v>1.0818816924397038E-2</v>
      </c>
      <c r="C88" s="731">
        <f>Input!F235/Input!$F$181</f>
        <v>9.6223733135951377E-3</v>
      </c>
      <c r="D88" s="731">
        <f>Input!G235/Input!$G$181</f>
        <v>9.0348281568998316E-3</v>
      </c>
      <c r="E88" s="731">
        <f>Input!H235/Input!$H$181</f>
        <v>8.5298644270294811E-3</v>
      </c>
      <c r="F88" s="731">
        <f>Input!I235/Input!$I$181</f>
        <v>7.649063248092996E-3</v>
      </c>
      <c r="G88" s="731">
        <f>Input!J235/Input!$J$181</f>
        <v>6.6338793119759222E-3</v>
      </c>
    </row>
    <row r="89" spans="1:7" x14ac:dyDescent="0.25">
      <c r="A89" s="218" t="s">
        <v>90</v>
      </c>
      <c r="B89" s="731">
        <f>Input!E237/Input!$E$181</f>
        <v>1.4834670546137081E-2</v>
      </c>
      <c r="C89" s="731">
        <f>Input!F237/Input!$F$181</f>
        <v>2.9102392857580223E-2</v>
      </c>
      <c r="D89" s="731">
        <f>Input!G237/Input!$G$181</f>
        <v>2.0762458170177283E-2</v>
      </c>
      <c r="E89" s="731">
        <f>Input!H237/Input!$H$181</f>
        <v>0</v>
      </c>
      <c r="F89" s="731">
        <f>Input!I237/Input!$I$181</f>
        <v>0</v>
      </c>
      <c r="G89" s="731">
        <f>Input!J237/Input!$J$181</f>
        <v>0</v>
      </c>
    </row>
    <row r="90" spans="1:7" x14ac:dyDescent="0.25">
      <c r="A90" s="707" t="s">
        <v>91</v>
      </c>
      <c r="B90" s="731">
        <f>Input!E239/Input!$E$181</f>
        <v>0</v>
      </c>
      <c r="C90" s="731">
        <f>Input!F239/Input!$F$181</f>
        <v>0</v>
      </c>
      <c r="D90" s="731">
        <f>Input!G239/Input!$G$181</f>
        <v>0</v>
      </c>
      <c r="E90" s="731">
        <f>Input!H239/Input!$H$181</f>
        <v>0</v>
      </c>
      <c r="F90" s="731">
        <f>Input!I239/Input!$I$181</f>
        <v>0</v>
      </c>
      <c r="G90" s="731">
        <f>Input!J239/Input!$J$181</f>
        <v>0</v>
      </c>
    </row>
    <row r="91" spans="1:7" x14ac:dyDescent="0.25">
      <c r="A91" s="730" t="s">
        <v>92</v>
      </c>
      <c r="B91" s="731">
        <f>Input!E242/Input!$E$181</f>
        <v>0.50938390873178918</v>
      </c>
      <c r="C91" s="731">
        <f>Input!F242/Input!$F$181</f>
        <v>0.62085554137617061</v>
      </c>
      <c r="D91" s="731">
        <f>Input!G242/Input!$G$181</f>
        <v>0.66623370728339337</v>
      </c>
      <c r="E91" s="731">
        <f>Input!H242/Input!$H$181</f>
        <v>0.50151524288558835</v>
      </c>
      <c r="F91" s="731">
        <f>Input!I242/Input!$I$181</f>
        <v>0.47175941876225008</v>
      </c>
      <c r="G91" s="731">
        <f>Input!J242/Input!$J$181</f>
        <v>0.45311256820660367</v>
      </c>
    </row>
    <row r="92" spans="1:7" x14ac:dyDescent="0.25">
      <c r="A92" s="707" t="s">
        <v>93</v>
      </c>
      <c r="B92" s="731">
        <f>Input!E245/Input!$E$181</f>
        <v>0</v>
      </c>
      <c r="C92" s="731">
        <f>Input!F245/Input!$F$181</f>
        <v>0</v>
      </c>
      <c r="D92" s="731">
        <f>Input!G245/Input!$G$181</f>
        <v>0</v>
      </c>
      <c r="E92" s="731">
        <f>Input!H245/Input!$H$181</f>
        <v>0</v>
      </c>
      <c r="F92" s="731">
        <f>Input!I245/Input!$I$181</f>
        <v>0</v>
      </c>
      <c r="G92" s="731">
        <f>Input!J245/Input!$J$181</f>
        <v>0</v>
      </c>
    </row>
    <row r="93" spans="1:7" x14ac:dyDescent="0.25">
      <c r="A93" s="650" t="s">
        <v>94</v>
      </c>
      <c r="B93" s="731">
        <f>Input!E247/Input!$E$181</f>
        <v>0</v>
      </c>
      <c r="C93" s="731">
        <f>Input!F247/Input!$F$181</f>
        <v>0</v>
      </c>
      <c r="D93" s="731">
        <f>Input!G247/Input!$G$181</f>
        <v>0</v>
      </c>
      <c r="E93" s="731">
        <f>Input!H247/Input!$H$181</f>
        <v>0</v>
      </c>
      <c r="F93" s="731">
        <f>Input!I247/Input!$I$181</f>
        <v>0</v>
      </c>
      <c r="G93" s="731">
        <f>Input!J247/Input!$J$181</f>
        <v>0</v>
      </c>
    </row>
    <row r="94" spans="1:7" x14ac:dyDescent="0.25">
      <c r="A94" s="707" t="s">
        <v>95</v>
      </c>
      <c r="B94" s="731">
        <f>Input!E249/Input!$E$181</f>
        <v>0.26412272404709414</v>
      </c>
      <c r="C94" s="731">
        <f>Input!F249/Input!$F$181</f>
        <v>0.18253044330631393</v>
      </c>
      <c r="D94" s="731">
        <f>Input!G249/Input!$G$181</f>
        <v>0.16034454784216146</v>
      </c>
      <c r="E94" s="731">
        <f>Input!H249/Input!$H$181</f>
        <v>0.22943722485220661</v>
      </c>
      <c r="F94" s="731">
        <f>Input!I249/Input!$I$181</f>
        <v>0.20574533855430019</v>
      </c>
      <c r="G94" s="731">
        <f>Input!J249/Input!$J$181</f>
        <v>0.17843881017863691</v>
      </c>
    </row>
    <row r="95" spans="1:7" x14ac:dyDescent="0.25">
      <c r="A95" s="218" t="s">
        <v>96</v>
      </c>
      <c r="B95" s="731">
        <f>Input!E251/Input!$E$181</f>
        <v>0</v>
      </c>
      <c r="C95" s="731">
        <f>Input!F251/Input!$F$181</f>
        <v>0</v>
      </c>
      <c r="D95" s="731">
        <f>Input!G251/Input!$G$181</f>
        <v>0</v>
      </c>
      <c r="E95" s="731">
        <f>Input!H251/Input!$H$181</f>
        <v>0</v>
      </c>
      <c r="F95" s="731">
        <f>Input!I251/Input!$I$181</f>
        <v>0</v>
      </c>
      <c r="G95" s="731">
        <f>Input!J251/Input!$J$181</f>
        <v>0</v>
      </c>
    </row>
    <row r="96" spans="1:7" x14ac:dyDescent="0.25">
      <c r="A96" s="646" t="s">
        <v>97</v>
      </c>
      <c r="B96" s="731">
        <f>Input!E253/Input!$E$181</f>
        <v>0.131421627886981</v>
      </c>
      <c r="C96" s="731">
        <f>Input!F253/Input!$F$181</f>
        <v>9.285138422070828E-2</v>
      </c>
      <c r="D96" s="731">
        <f>Input!G253/Input!$G$181</f>
        <v>0.10862500785188482</v>
      </c>
      <c r="E96" s="731">
        <f>Input!H253/Input!$H$181</f>
        <v>9.296448645115761E-2</v>
      </c>
      <c r="F96" s="731">
        <f>Input!I253/Input!$I$181</f>
        <v>0.16947159444645774</v>
      </c>
      <c r="G96" s="731">
        <f>Input!J253/Input!$J$181</f>
        <v>0.20923742062692391</v>
      </c>
    </row>
    <row r="97" spans="1:7" x14ac:dyDescent="0.25">
      <c r="A97" s="720" t="s">
        <v>98</v>
      </c>
      <c r="B97" s="731">
        <f>Input!E255/Input!$E$181</f>
        <v>0.1343565495155723</v>
      </c>
      <c r="C97" s="731">
        <f>Input!F255/Input!$F$181</f>
        <v>0.12365478668607842</v>
      </c>
      <c r="D97" s="731">
        <f>Input!G255/Input!$G$181</f>
        <v>9.8467937711070194E-2</v>
      </c>
      <c r="E97" s="731">
        <f>Input!H255/Input!$H$181</f>
        <v>0.10531846654300731</v>
      </c>
      <c r="F97" s="731">
        <f>Input!I255/Input!$I$181</f>
        <v>0.10018096597619304</v>
      </c>
      <c r="G97" s="731">
        <f>Input!J255/Input!$J$181</f>
        <v>8.8754958518184254E-2</v>
      </c>
    </row>
    <row r="98" spans="1:7" x14ac:dyDescent="0.25">
      <c r="A98" s="705" t="s">
        <v>99</v>
      </c>
      <c r="B98" s="731">
        <f>Input!E257/Input!$E$181</f>
        <v>-0.11827946516548971</v>
      </c>
      <c r="C98" s="731">
        <f>Input!F257/Input!$F$181</f>
        <v>-8.3566245933329134E-2</v>
      </c>
      <c r="D98" s="731">
        <f>Input!G257/Input!$G$181</f>
        <v>-9.7762506972856017E-2</v>
      </c>
      <c r="E98" s="731">
        <f>Input!H257/Input!$H$181</f>
        <v>0</v>
      </c>
      <c r="F98" s="731">
        <f>Input!I257/Input!$I$181</f>
        <v>-1.8951174574210056E-2</v>
      </c>
      <c r="G98" s="731">
        <f>Input!J257/Input!$J$181</f>
        <v>0</v>
      </c>
    </row>
    <row r="99" spans="1:7" x14ac:dyDescent="0.25">
      <c r="A99" s="716" t="s">
        <v>100</v>
      </c>
      <c r="B99" s="731">
        <f>Input!E259/Input!$E$181</f>
        <v>-1.3142162788698101E-2</v>
      </c>
      <c r="C99" s="731">
        <f>Input!F259/Input!$F$181</f>
        <v>-9.2851384267153628E-3</v>
      </c>
      <c r="D99" s="731">
        <f>Input!G259/Input!$G$181</f>
        <v>-1.0862500797428525E-2</v>
      </c>
      <c r="E99" s="731">
        <f>Input!H259/Input!$H$181</f>
        <v>-9.2964486374118166E-3</v>
      </c>
      <c r="F99" s="731">
        <f>Input!I259/Input!$I$181</f>
        <v>-9.4443190588922778E-3</v>
      </c>
      <c r="G99" s="731">
        <f>Input!J259/Input!$J$181</f>
        <v>-8.6884944742603807E-3</v>
      </c>
    </row>
    <row r="100" spans="1:7" x14ac:dyDescent="0.25">
      <c r="A100" s="221" t="s">
        <v>101</v>
      </c>
      <c r="B100" s="731">
        <f>Input!E262/Input!$E$181</f>
        <v>0.1343565494483655</v>
      </c>
      <c r="C100" s="731">
        <f>Input!F262/Input!$F$181</f>
        <v>0.12365478654674221</v>
      </c>
      <c r="D100" s="731">
        <f>Input!G262/Input!$G$181</f>
        <v>9.8467937792670462E-2</v>
      </c>
      <c r="E100" s="731">
        <f>Input!H262/Input!$H$181</f>
        <v>0.1889865043567531</v>
      </c>
      <c r="F100" s="731">
        <f>Input!I262/Input!$I$181</f>
        <v>0.24125706678954847</v>
      </c>
      <c r="G100" s="731">
        <f>Input!J262/Input!$J$181</f>
        <v>0.28930388467084778</v>
      </c>
    </row>
    <row r="101" spans="1:7" x14ac:dyDescent="0.25">
      <c r="A101" s="707" t="s">
        <v>102</v>
      </c>
      <c r="B101" s="731">
        <f>Input!E265/Input!$E$181</f>
        <v>9.2136817772751164E-2</v>
      </c>
      <c r="C101" s="731">
        <f>Input!F265/Input!$F$181</f>
        <v>7.295922877077321E-2</v>
      </c>
      <c r="D101" s="731">
        <f>Input!G265/Input!$G$181</f>
        <v>7.4953807081774682E-2</v>
      </c>
      <c r="E101" s="731">
        <f>Input!H265/Input!$H$181</f>
        <v>8.0061027840724788E-2</v>
      </c>
      <c r="F101" s="731">
        <f>Input!I265/Input!$I$181</f>
        <v>8.1238175913227198E-2</v>
      </c>
      <c r="G101" s="731">
        <f>Input!J265/Input!$J$181</f>
        <v>7.914473689947224E-2</v>
      </c>
    </row>
    <row r="102" spans="1:7" x14ac:dyDescent="0.25">
      <c r="A102" s="722" t="s">
        <v>103</v>
      </c>
      <c r="B102" s="731">
        <f>Input!E267/Input!$E$181</f>
        <v>0</v>
      </c>
      <c r="C102" s="731">
        <f>Input!F267/Input!$F$181</f>
        <v>0</v>
      </c>
      <c r="D102" s="731">
        <f>Input!G267/Input!$G$181</f>
        <v>0</v>
      </c>
      <c r="E102" s="731">
        <f>Input!H267/Input!$H$181</f>
        <v>0</v>
      </c>
      <c r="F102" s="731">
        <f>Input!I267/Input!$I$181</f>
        <v>0</v>
      </c>
      <c r="G102" s="731">
        <f>Input!J267/Input!$J$181</f>
        <v>0</v>
      </c>
    </row>
    <row r="103" spans="1:7" x14ac:dyDescent="0.25">
      <c r="A103" s="649" t="s">
        <v>1783</v>
      </c>
      <c r="B103" s="731">
        <f>Input!E269/Input!$E$181</f>
        <v>0</v>
      </c>
      <c r="C103" s="731">
        <f>Input!F269/Input!$F$181</f>
        <v>0</v>
      </c>
      <c r="D103" s="731">
        <f>Input!G269/Input!$G$181</f>
        <v>0</v>
      </c>
      <c r="E103" s="731">
        <f>Input!H269/Input!$H$181</f>
        <v>0</v>
      </c>
      <c r="F103" s="731">
        <f>Input!I269/Input!$I$181</f>
        <v>0</v>
      </c>
      <c r="G103" s="731">
        <f>Input!J269/Input!$J$181</f>
        <v>0</v>
      </c>
    </row>
    <row r="104" spans="1:7" x14ac:dyDescent="0.25">
      <c r="A104" s="646" t="s">
        <v>104</v>
      </c>
      <c r="B104" s="731">
        <f>Input!E271/Input!$E$181</f>
        <v>0</v>
      </c>
      <c r="C104" s="731">
        <f>Input!F271/Input!$F$181</f>
        <v>0</v>
      </c>
      <c r="D104" s="731">
        <f>Input!G271/Input!$G$181</f>
        <v>0</v>
      </c>
      <c r="E104" s="731">
        <f>Input!H271/Input!$H$181</f>
        <v>0</v>
      </c>
      <c r="F104" s="731">
        <f>Input!I271/Input!$I$181</f>
        <v>0</v>
      </c>
      <c r="G104" s="731">
        <f>Input!J271/Input!$J$181</f>
        <v>0</v>
      </c>
    </row>
    <row r="105" spans="1:7" x14ac:dyDescent="0.25">
      <c r="A105" s="655" t="s">
        <v>105</v>
      </c>
      <c r="B105" s="731">
        <f>Input!E274/Input!$E$181</f>
        <v>0.49061609126821082</v>
      </c>
      <c r="C105" s="731">
        <f>Input!F274/Input!$F$181</f>
        <v>0.37914445862382934</v>
      </c>
      <c r="D105" s="731">
        <f>Input!G274/Input!$G$181</f>
        <v>0.33376629271660663</v>
      </c>
      <c r="E105" s="731">
        <f>Input!H274/Input!$H$181</f>
        <v>0.49848475704968453</v>
      </c>
      <c r="F105" s="731">
        <f>Input!I274/Input!$I$181</f>
        <v>0.52824058125707585</v>
      </c>
      <c r="G105" s="731">
        <f>Input!J274/Input!$J$181</f>
        <v>0.54688743174895693</v>
      </c>
    </row>
    <row r="106" spans="1:7" x14ac:dyDescent="0.25">
      <c r="A106" s="717" t="s">
        <v>106</v>
      </c>
      <c r="B106" s="731">
        <f>Input!E276/Input!$E$181</f>
        <v>1</v>
      </c>
      <c r="C106" s="731">
        <f>Input!F276/Input!$F$181</f>
        <v>1</v>
      </c>
      <c r="D106" s="731">
        <f>Input!G276/Input!$G$181</f>
        <v>1</v>
      </c>
      <c r="E106" s="731">
        <f>Input!H276/Input!$H$181</f>
        <v>0.99999999993527289</v>
      </c>
      <c r="F106" s="731">
        <f>Input!I276/Input!$I$181</f>
        <v>1.0000000000193259</v>
      </c>
      <c r="G106" s="731">
        <f>Input!J276/Input!$J$181</f>
        <v>0.99999999995556055</v>
      </c>
    </row>
  </sheetData>
  <dataValidations count="1">
    <dataValidation allowBlank="1" showErrorMessage="1" sqref="A2:A106" xr:uid="{00000000-0002-0000-09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6"/>
  <sheetViews>
    <sheetView tabSelected="1" workbookViewId="0">
      <selection activeCell="B6" sqref="B6"/>
    </sheetView>
  </sheetViews>
  <sheetFormatPr defaultColWidth="8.77734375" defaultRowHeight="14.4" x14ac:dyDescent="0.3"/>
  <cols>
    <col min="1" max="1" width="36.21875" style="739" bestFit="1" customWidth="1"/>
    <col min="2" max="2" width="99.77734375" style="739" bestFit="1" customWidth="1"/>
    <col min="3" max="3" width="9.6640625" style="739" bestFit="1" customWidth="1"/>
    <col min="4" max="4" width="16.21875" style="739" bestFit="1" customWidth="1"/>
    <col min="5" max="5" width="13.6640625" style="739" bestFit="1" customWidth="1"/>
    <col min="6" max="6" width="22.21875" style="739" bestFit="1" customWidth="1"/>
    <col min="7" max="7" width="38.5546875" style="739" bestFit="1" customWidth="1"/>
    <col min="8" max="16384" width="8.77734375" style="739"/>
  </cols>
  <sheetData>
    <row r="1" spans="1:8" x14ac:dyDescent="0.3">
      <c r="A1" s="739" t="s">
        <v>3206</v>
      </c>
      <c r="B1" s="739" t="s">
        <v>3260</v>
      </c>
    </row>
    <row r="2" spans="1:8" x14ac:dyDescent="0.3">
      <c r="A2" s="740" t="s">
        <v>3207</v>
      </c>
      <c r="B2" s="741" t="s">
        <v>111</v>
      </c>
      <c r="C2" s="740" t="s">
        <v>3208</v>
      </c>
      <c r="D2" s="741" t="s">
        <v>3209</v>
      </c>
      <c r="E2" s="740" t="s">
        <v>3210</v>
      </c>
    </row>
    <row r="3" spans="1:8" x14ac:dyDescent="0.3">
      <c r="A3" s="740" t="s">
        <v>3932</v>
      </c>
      <c r="B3" s="741"/>
      <c r="C3" s="775" t="s">
        <v>3934</v>
      </c>
      <c r="D3" s="741"/>
      <c r="E3" s="774" t="s">
        <v>3933</v>
      </c>
    </row>
    <row r="4" spans="1:8" x14ac:dyDescent="0.3">
      <c r="A4" s="776" t="s">
        <v>3935</v>
      </c>
      <c r="B4" s="741"/>
      <c r="C4" s="740"/>
      <c r="D4" s="741"/>
      <c r="E4" s="740"/>
    </row>
    <row r="5" spans="1:8" x14ac:dyDescent="0.3">
      <c r="A5" s="776" t="s">
        <v>3935</v>
      </c>
      <c r="B5" s="741"/>
      <c r="C5" s="740"/>
      <c r="D5" s="741"/>
      <c r="E5" s="740"/>
    </row>
    <row r="6" spans="1:8" x14ac:dyDescent="0.3">
      <c r="A6" s="776" t="s">
        <v>3935</v>
      </c>
      <c r="B6" s="741"/>
      <c r="C6" s="740"/>
      <c r="D6" s="741"/>
      <c r="E6" s="740"/>
    </row>
    <row r="7" spans="1:8" x14ac:dyDescent="0.3">
      <c r="A7" s="776" t="s">
        <v>3935</v>
      </c>
      <c r="B7" s="741"/>
      <c r="C7" s="740"/>
      <c r="D7" s="741"/>
      <c r="E7" s="740"/>
    </row>
    <row r="9" spans="1:8" x14ac:dyDescent="0.3">
      <c r="A9" s="739" t="s">
        <v>9</v>
      </c>
      <c r="C9" s="739">
        <f>C10*C11</f>
        <v>10</v>
      </c>
    </row>
    <row r="10" spans="1:8" x14ac:dyDescent="0.3">
      <c r="B10" s="739" t="s">
        <v>3211</v>
      </c>
      <c r="C10" s="739">
        <v>10</v>
      </c>
    </row>
    <row r="11" spans="1:8" x14ac:dyDescent="0.3">
      <c r="B11" s="739" t="s">
        <v>3212</v>
      </c>
      <c r="C11" s="739">
        <v>1</v>
      </c>
    </row>
    <row r="12" spans="1:8" x14ac:dyDescent="0.3">
      <c r="A12" s="742" t="s">
        <v>10</v>
      </c>
      <c r="B12" s="739" t="s">
        <v>3213</v>
      </c>
      <c r="C12" s="739">
        <f>-E12*C11</f>
        <v>-5</v>
      </c>
      <c r="D12" s="739" t="s">
        <v>3214</v>
      </c>
      <c r="E12" s="739">
        <v>5</v>
      </c>
    </row>
    <row r="13" spans="1:8" x14ac:dyDescent="0.3">
      <c r="A13" s="739" t="s">
        <v>11</v>
      </c>
      <c r="B13" s="739" t="s">
        <v>3215</v>
      </c>
      <c r="C13" s="739">
        <v>0</v>
      </c>
    </row>
    <row r="14" spans="1:8" x14ac:dyDescent="0.3">
      <c r="A14" s="739" t="s">
        <v>12</v>
      </c>
      <c r="B14" s="739" t="s">
        <v>3216</v>
      </c>
      <c r="C14" s="739">
        <f>SUM(C10:C13)</f>
        <v>6</v>
      </c>
    </row>
    <row r="15" spans="1:8" x14ac:dyDescent="0.3">
      <c r="A15" s="742" t="s">
        <v>13</v>
      </c>
      <c r="B15" s="739" t="s">
        <v>3217</v>
      </c>
      <c r="C15" s="739">
        <f>(E15*-C11)+H15</f>
        <v>-4</v>
      </c>
      <c r="D15" s="739" t="s">
        <v>3214</v>
      </c>
      <c r="E15" s="739">
        <v>1</v>
      </c>
      <c r="F15" s="739" t="s">
        <v>3218</v>
      </c>
      <c r="G15" s="739" t="s">
        <v>3219</v>
      </c>
      <c r="H15" s="739">
        <v>-3</v>
      </c>
    </row>
    <row r="16" spans="1:8" x14ac:dyDescent="0.3">
      <c r="A16" s="739" t="s">
        <v>14</v>
      </c>
      <c r="B16" s="739" t="s">
        <v>3220</v>
      </c>
      <c r="C16" s="739">
        <v>0</v>
      </c>
    </row>
    <row r="17" spans="1:7" x14ac:dyDescent="0.3">
      <c r="A17" s="739" t="s">
        <v>1773</v>
      </c>
      <c r="B17" s="739" t="s">
        <v>3221</v>
      </c>
      <c r="C17" s="739">
        <v>0</v>
      </c>
    </row>
    <row r="18" spans="1:7" x14ac:dyDescent="0.3">
      <c r="A18" s="739" t="s">
        <v>15</v>
      </c>
      <c r="B18" s="739" t="s">
        <v>3215</v>
      </c>
      <c r="C18" s="739">
        <v>0</v>
      </c>
    </row>
    <row r="19" spans="1:7" x14ac:dyDescent="0.3">
      <c r="A19" s="739" t="s">
        <v>16</v>
      </c>
      <c r="B19" s="739" t="s">
        <v>3216</v>
      </c>
      <c r="C19" s="739">
        <f>SUM(C14:C18)</f>
        <v>2</v>
      </c>
    </row>
    <row r="20" spans="1:7" x14ac:dyDescent="0.3">
      <c r="A20" s="739" t="s">
        <v>1774</v>
      </c>
      <c r="B20" s="739" t="s">
        <v>3222</v>
      </c>
      <c r="C20" s="739">
        <v>0</v>
      </c>
    </row>
    <row r="21" spans="1:7" x14ac:dyDescent="0.3">
      <c r="A21" s="739" t="s">
        <v>17</v>
      </c>
      <c r="B21" s="739" t="s">
        <v>3221</v>
      </c>
      <c r="C21" s="739">
        <v>0</v>
      </c>
    </row>
    <row r="22" spans="1:7" x14ac:dyDescent="0.3">
      <c r="A22" s="739" t="s">
        <v>18</v>
      </c>
      <c r="B22" s="739" t="s">
        <v>3223</v>
      </c>
      <c r="C22" s="739">
        <v>0</v>
      </c>
    </row>
    <row r="23" spans="1:7" x14ac:dyDescent="0.3">
      <c r="A23" s="739" t="s">
        <v>19</v>
      </c>
      <c r="B23" s="739" t="s">
        <v>3224</v>
      </c>
      <c r="C23" s="739">
        <v>0</v>
      </c>
    </row>
    <row r="24" spans="1:7" x14ac:dyDescent="0.3">
      <c r="A24" s="739" t="s">
        <v>20</v>
      </c>
      <c r="B24" s="739" t="s">
        <v>3224</v>
      </c>
      <c r="C24" s="739">
        <v>0</v>
      </c>
    </row>
    <row r="25" spans="1:7" x14ac:dyDescent="0.3">
      <c r="A25" s="739" t="s">
        <v>21</v>
      </c>
      <c r="B25" s="739" t="s">
        <v>3224</v>
      </c>
      <c r="C25" s="739">
        <v>0</v>
      </c>
    </row>
    <row r="26" spans="1:7" x14ac:dyDescent="0.3">
      <c r="A26" s="739" t="s">
        <v>22</v>
      </c>
      <c r="B26" s="739" t="s">
        <v>3224</v>
      </c>
      <c r="C26" s="739">
        <v>0</v>
      </c>
    </row>
    <row r="27" spans="1:7" x14ac:dyDescent="0.3">
      <c r="A27" s="739" t="s">
        <v>23</v>
      </c>
      <c r="B27" s="739" t="s">
        <v>3216</v>
      </c>
      <c r="C27" s="739">
        <f>SUM(C19:C26)</f>
        <v>2</v>
      </c>
    </row>
    <row r="28" spans="1:7" x14ac:dyDescent="0.3">
      <c r="A28" s="739" t="s">
        <v>24</v>
      </c>
      <c r="B28" s="739" t="s">
        <v>3225</v>
      </c>
      <c r="C28" s="739">
        <f>C27*-G28</f>
        <v>-0.36</v>
      </c>
      <c r="D28" s="739" t="s">
        <v>3226</v>
      </c>
      <c r="E28" s="743">
        <v>0.17</v>
      </c>
      <c r="F28" s="739" t="s">
        <v>3227</v>
      </c>
      <c r="G28" s="743">
        <v>0.18</v>
      </c>
    </row>
    <row r="29" spans="1:7" x14ac:dyDescent="0.3">
      <c r="A29" s="739" t="s">
        <v>27</v>
      </c>
      <c r="B29" s="739" t="s">
        <v>3216</v>
      </c>
      <c r="C29" s="739">
        <f>C27+C28</f>
        <v>1.6400000000000001</v>
      </c>
    </row>
    <row r="31" spans="1:7" x14ac:dyDescent="0.3">
      <c r="B31" s="739" t="s">
        <v>3228</v>
      </c>
      <c r="C31" s="744">
        <f>C29/C9</f>
        <v>0.16400000000000001</v>
      </c>
    </row>
    <row r="35" spans="1:4" x14ac:dyDescent="0.3">
      <c r="A35" s="739" t="s">
        <v>3229</v>
      </c>
      <c r="B35" s="739" t="s">
        <v>3230</v>
      </c>
    </row>
    <row r="36" spans="1:4" x14ac:dyDescent="0.3">
      <c r="B36" s="739">
        <v>10</v>
      </c>
    </row>
    <row r="37" spans="1:4" x14ac:dyDescent="0.3">
      <c r="B37" s="739" t="s">
        <v>3231</v>
      </c>
    </row>
    <row r="38" spans="1:4" x14ac:dyDescent="0.3">
      <c r="B38" s="743">
        <v>0.05</v>
      </c>
    </row>
    <row r="39" spans="1:4" x14ac:dyDescent="0.3">
      <c r="A39" s="739" t="s">
        <v>3232</v>
      </c>
      <c r="B39" s="739" t="s">
        <v>3233</v>
      </c>
      <c r="C39" s="744">
        <f>B38/365</f>
        <v>1.3698630136986303E-4</v>
      </c>
    </row>
    <row r="40" spans="1:4" x14ac:dyDescent="0.3">
      <c r="A40" s="745">
        <v>43831</v>
      </c>
      <c r="B40" s="745">
        <v>43920</v>
      </c>
      <c r="C40" s="739">
        <f>B40-A40</f>
        <v>89</v>
      </c>
    </row>
    <row r="41" spans="1:4" x14ac:dyDescent="0.3">
      <c r="A41" s="739">
        <v>10</v>
      </c>
      <c r="B41" s="739">
        <f>A41*(1+C41)</f>
        <v>10.121917808219179</v>
      </c>
      <c r="C41" s="744">
        <f>C39*C40</f>
        <v>1.2191780821917809E-2</v>
      </c>
    </row>
    <row r="42" spans="1:4" x14ac:dyDescent="0.3">
      <c r="A42" s="739" t="s">
        <v>3234</v>
      </c>
      <c r="B42" s="739">
        <f>B41-A41</f>
        <v>0.12191780821917853</v>
      </c>
    </row>
    <row r="44" spans="1:4" x14ac:dyDescent="0.3">
      <c r="A44" s="739" t="s">
        <v>3235</v>
      </c>
      <c r="B44" s="745">
        <v>43831</v>
      </c>
      <c r="C44" s="745">
        <v>43862</v>
      </c>
      <c r="D44" s="745">
        <v>43952</v>
      </c>
    </row>
    <row r="45" spans="1:4" x14ac:dyDescent="0.3">
      <c r="B45" s="739">
        <v>-10</v>
      </c>
      <c r="C45" s="739">
        <v>6</v>
      </c>
      <c r="D45" s="739">
        <v>4.5</v>
      </c>
    </row>
    <row r="46" spans="1:4" x14ac:dyDescent="0.3">
      <c r="A46" s="739" t="s">
        <v>3236</v>
      </c>
      <c r="B46" s="744">
        <f>XIRR(B45:D45,B44:D44)</f>
        <v>0.29508485198020939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A703"/>
  <sheetViews>
    <sheetView workbookViewId="0">
      <selection activeCell="B11" sqref="B11"/>
    </sheetView>
  </sheetViews>
  <sheetFormatPr defaultRowHeight="13.2" x14ac:dyDescent="0.25"/>
  <cols>
    <col min="1" max="1" width="38.21875" bestFit="1" customWidth="1"/>
    <col min="2" max="2" width="22.21875" bestFit="1" customWidth="1"/>
    <col min="3" max="3" width="19.77734375" bestFit="1" customWidth="1"/>
    <col min="4" max="4" width="15.21875" bestFit="1" customWidth="1"/>
    <col min="5" max="5" width="9.21875" bestFit="1" customWidth="1"/>
    <col min="6" max="6" width="16.21875" bestFit="1" customWidth="1"/>
    <col min="7" max="7" width="5" bestFit="1" customWidth="1"/>
    <col min="8" max="8" width="5.21875" bestFit="1" customWidth="1"/>
    <col min="9" max="9" width="21.77734375" bestFit="1" customWidth="1"/>
    <col min="10" max="10" width="19.21875" bestFit="1" customWidth="1"/>
    <col min="11" max="11" width="21.21875" bestFit="1" customWidth="1"/>
    <col min="12" max="12" width="27.5546875" bestFit="1" customWidth="1"/>
    <col min="13" max="14" width="15.21875" bestFit="1" customWidth="1"/>
    <col min="15" max="15" width="16.21875" bestFit="1" customWidth="1"/>
    <col min="16" max="16" width="20.44140625" bestFit="1" customWidth="1"/>
    <col min="17" max="17" width="12.21875" bestFit="1" customWidth="1"/>
    <col min="18" max="18" width="12.77734375" bestFit="1" customWidth="1"/>
    <col min="19" max="19" width="10.44140625" bestFit="1" customWidth="1"/>
    <col min="20" max="20" width="12.77734375" bestFit="1" customWidth="1"/>
    <col min="21" max="21" width="18.21875" bestFit="1" customWidth="1"/>
    <col min="22" max="22" width="11.77734375" bestFit="1" customWidth="1"/>
    <col min="23" max="23" width="12" bestFit="1" customWidth="1"/>
    <col min="24" max="24" width="14" bestFit="1" customWidth="1"/>
    <col min="25" max="25" width="14.5546875" bestFit="1" customWidth="1"/>
    <col min="26" max="26" width="13.77734375" bestFit="1" customWidth="1"/>
    <col min="27" max="27" width="19.21875" bestFit="1" customWidth="1"/>
    <col min="28" max="28" width="12.21875" bestFit="1" customWidth="1"/>
    <col min="29" max="29" width="19.77734375" bestFit="1" customWidth="1"/>
    <col min="30" max="30" width="15.21875" bestFit="1" customWidth="1"/>
    <col min="31" max="31" width="9.21875" bestFit="1" customWidth="1"/>
    <col min="32" max="32" width="16.21875" bestFit="1" customWidth="1"/>
    <col min="33" max="33" width="5" bestFit="1" customWidth="1"/>
    <col min="34" max="34" width="5.21875" bestFit="1" customWidth="1"/>
    <col min="35" max="35" width="21.77734375" bestFit="1" customWidth="1"/>
    <col min="36" max="36" width="19.21875" bestFit="1" customWidth="1"/>
    <col min="37" max="37" width="21.21875" bestFit="1" customWidth="1"/>
    <col min="38" max="38" width="27.5546875" bestFit="1" customWidth="1"/>
    <col min="39" max="40" width="15.21875" bestFit="1" customWidth="1"/>
    <col min="41" max="41" width="16.21875" bestFit="1" customWidth="1"/>
    <col min="42" max="42" width="20.44140625" bestFit="1" customWidth="1"/>
    <col min="43" max="43" width="12.21875" bestFit="1" customWidth="1"/>
    <col min="44" max="44" width="12.77734375" bestFit="1" customWidth="1"/>
    <col min="45" max="45" width="10.44140625" bestFit="1" customWidth="1"/>
    <col min="46" max="46" width="12.77734375" bestFit="1" customWidth="1"/>
    <col min="47" max="47" width="18.21875" bestFit="1" customWidth="1"/>
    <col min="48" max="48" width="11.77734375" bestFit="1" customWidth="1"/>
    <col min="49" max="49" width="12" bestFit="1" customWidth="1"/>
    <col min="50" max="50" width="14" bestFit="1" customWidth="1"/>
    <col min="51" max="51" width="14.5546875" bestFit="1" customWidth="1"/>
    <col min="52" max="52" width="13.77734375" bestFit="1" customWidth="1"/>
    <col min="53" max="53" width="19.21875" bestFit="1" customWidth="1"/>
    <col min="54" max="54" width="12.21875" bestFit="1" customWidth="1"/>
    <col min="55" max="55" width="19.77734375" bestFit="1" customWidth="1"/>
    <col min="56" max="56" width="15.21875" bestFit="1" customWidth="1"/>
    <col min="57" max="57" width="9.21875" bestFit="1" customWidth="1"/>
    <col min="58" max="58" width="16.21875" bestFit="1" customWidth="1"/>
    <col min="59" max="59" width="5" bestFit="1" customWidth="1"/>
    <col min="60" max="60" width="5.21875" bestFit="1" customWidth="1"/>
    <col min="61" max="61" width="21.77734375" bestFit="1" customWidth="1"/>
    <col min="62" max="62" width="19.21875" bestFit="1" customWidth="1"/>
    <col min="63" max="63" width="21.21875" bestFit="1" customWidth="1"/>
    <col min="64" max="64" width="27.5546875" bestFit="1" customWidth="1"/>
    <col min="65" max="66" width="15.21875" bestFit="1" customWidth="1"/>
    <col min="67" max="67" width="16.21875" bestFit="1" customWidth="1"/>
    <col min="68" max="68" width="20.44140625" bestFit="1" customWidth="1"/>
    <col min="69" max="69" width="12.21875" bestFit="1" customWidth="1"/>
    <col min="70" max="70" width="12.77734375" bestFit="1" customWidth="1"/>
    <col min="71" max="71" width="10.44140625" bestFit="1" customWidth="1"/>
    <col min="72" max="72" width="12.77734375" bestFit="1" customWidth="1"/>
    <col min="73" max="73" width="18.21875" bestFit="1" customWidth="1"/>
    <col min="74" max="74" width="11.77734375" bestFit="1" customWidth="1"/>
    <col min="75" max="75" width="12" bestFit="1" customWidth="1"/>
    <col min="76" max="76" width="14" bestFit="1" customWidth="1"/>
    <col min="77" max="77" width="14.5546875" bestFit="1" customWidth="1"/>
    <col min="78" max="78" width="13.77734375" bestFit="1" customWidth="1"/>
    <col min="79" max="79" width="19.21875" bestFit="1" customWidth="1"/>
    <col min="80" max="80" width="12.21875" bestFit="1" customWidth="1"/>
    <col min="81" max="81" width="19.77734375" bestFit="1" customWidth="1"/>
    <col min="82" max="82" width="15.21875" bestFit="1" customWidth="1"/>
    <col min="83" max="83" width="9.21875" bestFit="1" customWidth="1"/>
    <col min="84" max="84" width="16.21875" bestFit="1" customWidth="1"/>
    <col min="85" max="85" width="5" bestFit="1" customWidth="1"/>
    <col min="86" max="86" width="5.21875" bestFit="1" customWidth="1"/>
    <col min="87" max="87" width="21.77734375" bestFit="1" customWidth="1"/>
    <col min="88" max="88" width="19.21875" bestFit="1" customWidth="1"/>
    <col min="89" max="89" width="21.21875" bestFit="1" customWidth="1"/>
    <col min="90" max="90" width="27.5546875" bestFit="1" customWidth="1"/>
    <col min="91" max="92" width="15.21875" bestFit="1" customWidth="1"/>
    <col min="93" max="93" width="16.21875" bestFit="1" customWidth="1"/>
    <col min="94" max="94" width="20.44140625" bestFit="1" customWidth="1"/>
    <col min="95" max="95" width="12.21875" bestFit="1" customWidth="1"/>
    <col min="96" max="96" width="12.77734375" bestFit="1" customWidth="1"/>
    <col min="97" max="97" width="10.44140625" bestFit="1" customWidth="1"/>
    <col min="98" max="98" width="12.77734375" bestFit="1" customWidth="1"/>
    <col min="99" max="99" width="18.21875" bestFit="1" customWidth="1"/>
    <col min="100" max="100" width="11.77734375" bestFit="1" customWidth="1"/>
    <col min="101" max="101" width="12" bestFit="1" customWidth="1"/>
    <col min="102" max="102" width="14" bestFit="1" customWidth="1"/>
    <col min="103" max="103" width="14.5546875" bestFit="1" customWidth="1"/>
    <col min="104" max="104" width="13.77734375" bestFit="1" customWidth="1"/>
    <col min="105" max="105" width="19.21875" bestFit="1" customWidth="1"/>
    <col min="106" max="106" width="12.21875" bestFit="1" customWidth="1"/>
    <col min="107" max="107" width="19.77734375" bestFit="1" customWidth="1"/>
    <col min="108" max="108" width="15.21875" bestFit="1" customWidth="1"/>
    <col min="109" max="109" width="9.21875" bestFit="1" customWidth="1"/>
    <col min="110" max="110" width="16.21875" bestFit="1" customWidth="1"/>
    <col min="111" max="111" width="5" bestFit="1" customWidth="1"/>
    <col min="112" max="112" width="5.21875" bestFit="1" customWidth="1"/>
    <col min="113" max="113" width="21.77734375" bestFit="1" customWidth="1"/>
    <col min="114" max="114" width="19.21875" bestFit="1" customWidth="1"/>
    <col min="115" max="115" width="21.21875" bestFit="1" customWidth="1"/>
    <col min="116" max="116" width="27.5546875" bestFit="1" customWidth="1"/>
    <col min="117" max="118" width="15.21875" bestFit="1" customWidth="1"/>
    <col min="119" max="119" width="16.21875" bestFit="1" customWidth="1"/>
    <col min="120" max="120" width="20.44140625" bestFit="1" customWidth="1"/>
    <col min="121" max="121" width="12.21875" bestFit="1" customWidth="1"/>
    <col min="122" max="122" width="12.77734375" bestFit="1" customWidth="1"/>
    <col min="123" max="123" width="10.44140625" bestFit="1" customWidth="1"/>
    <col min="124" max="124" width="12.77734375" bestFit="1" customWidth="1"/>
    <col min="125" max="125" width="18.21875" bestFit="1" customWidth="1"/>
    <col min="126" max="126" width="11.77734375" bestFit="1" customWidth="1"/>
    <col min="127" max="127" width="12" bestFit="1" customWidth="1"/>
    <col min="128" max="128" width="14" bestFit="1" customWidth="1"/>
    <col min="129" max="129" width="14.5546875" bestFit="1" customWidth="1"/>
    <col min="130" max="130" width="13.77734375" bestFit="1" customWidth="1"/>
    <col min="131" max="131" width="19.21875" bestFit="1" customWidth="1"/>
    <col min="132" max="132" width="12.21875" bestFit="1" customWidth="1"/>
    <col min="133" max="133" width="19.77734375" bestFit="1" customWidth="1"/>
    <col min="134" max="134" width="15.21875" bestFit="1" customWidth="1"/>
    <col min="135" max="135" width="9.21875" bestFit="1" customWidth="1"/>
    <col min="136" max="136" width="16.21875" bestFit="1" customWidth="1"/>
    <col min="137" max="137" width="5" bestFit="1" customWidth="1"/>
    <col min="138" max="138" width="5.21875" bestFit="1" customWidth="1"/>
    <col min="139" max="139" width="21.77734375" bestFit="1" customWidth="1"/>
    <col min="140" max="140" width="19.21875" bestFit="1" customWidth="1"/>
    <col min="141" max="141" width="21.21875" bestFit="1" customWidth="1"/>
    <col min="142" max="142" width="27.5546875" bestFit="1" customWidth="1"/>
    <col min="143" max="144" width="15.21875" bestFit="1" customWidth="1"/>
    <col min="145" max="145" width="16.21875" bestFit="1" customWidth="1"/>
    <col min="146" max="146" width="20.44140625" bestFit="1" customWidth="1"/>
    <col min="147" max="147" width="12.21875" bestFit="1" customWidth="1"/>
    <col min="148" max="148" width="12.77734375" bestFit="1" customWidth="1"/>
    <col min="149" max="149" width="10.44140625" bestFit="1" customWidth="1"/>
    <col min="150" max="150" width="12.77734375" bestFit="1" customWidth="1"/>
    <col min="151" max="151" width="18.21875" bestFit="1" customWidth="1"/>
    <col min="152" max="152" width="11.77734375" bestFit="1" customWidth="1"/>
    <col min="153" max="153" width="12" bestFit="1" customWidth="1"/>
    <col min="154" max="154" width="14" bestFit="1" customWidth="1"/>
    <col min="155" max="155" width="14.5546875" bestFit="1" customWidth="1"/>
    <col min="156" max="156" width="13.77734375" bestFit="1" customWidth="1"/>
    <col min="157" max="157" width="19.21875" bestFit="1" customWidth="1"/>
    <col min="158" max="158" width="12.21875" bestFit="1" customWidth="1"/>
    <col min="159" max="159" width="19.77734375" bestFit="1" customWidth="1"/>
    <col min="160" max="160" width="15.21875" bestFit="1" customWidth="1"/>
    <col min="161" max="161" width="9.21875" bestFit="1" customWidth="1"/>
    <col min="162" max="162" width="16.21875" bestFit="1" customWidth="1"/>
    <col min="163" max="163" width="5" bestFit="1" customWidth="1"/>
    <col min="164" max="164" width="5.21875" bestFit="1" customWidth="1"/>
    <col min="165" max="165" width="21.77734375" bestFit="1" customWidth="1"/>
    <col min="166" max="166" width="19.21875" bestFit="1" customWidth="1"/>
    <col min="167" max="167" width="21.21875" bestFit="1" customWidth="1"/>
    <col min="168" max="168" width="27.5546875" bestFit="1" customWidth="1"/>
    <col min="169" max="170" width="15.21875" bestFit="1" customWidth="1"/>
    <col min="171" max="171" width="16.21875" bestFit="1" customWidth="1"/>
    <col min="172" max="172" width="20.44140625" bestFit="1" customWidth="1"/>
    <col min="173" max="173" width="12.21875" bestFit="1" customWidth="1"/>
    <col min="174" max="174" width="12.77734375" bestFit="1" customWidth="1"/>
    <col min="175" max="175" width="10.44140625" bestFit="1" customWidth="1"/>
    <col min="176" max="176" width="12.77734375" bestFit="1" customWidth="1"/>
    <col min="177" max="177" width="18.21875" bestFit="1" customWidth="1"/>
    <col min="178" max="178" width="11.77734375" bestFit="1" customWidth="1"/>
    <col min="179" max="179" width="12" bestFit="1" customWidth="1"/>
    <col min="180" max="180" width="14" bestFit="1" customWidth="1"/>
    <col min="181" max="181" width="14.5546875" bestFit="1" customWidth="1"/>
    <col min="182" max="182" width="13.77734375" bestFit="1" customWidth="1"/>
    <col min="183" max="183" width="19.21875" bestFit="1" customWidth="1"/>
  </cols>
  <sheetData>
    <row r="1" spans="1:183" x14ac:dyDescent="0.25">
      <c r="B1" t="s">
        <v>3136</v>
      </c>
    </row>
    <row r="2" spans="1:183" x14ac:dyDescent="0.25">
      <c r="A2" t="s">
        <v>3135</v>
      </c>
      <c r="B2" s="53" t="str">
        <f>'Client Input'!B5</f>
        <v>Advertising</v>
      </c>
    </row>
    <row r="3" spans="1:183" x14ac:dyDescent="0.25">
      <c r="B3" s="53"/>
    </row>
    <row r="7" spans="1:183" x14ac:dyDescent="0.25">
      <c r="B7" s="880">
        <v>2014</v>
      </c>
      <c r="C7" s="880"/>
      <c r="D7" s="880"/>
      <c r="E7" s="880"/>
      <c r="F7" s="880"/>
      <c r="G7" s="880"/>
      <c r="H7" s="880"/>
      <c r="I7" s="880"/>
      <c r="J7" s="880"/>
      <c r="K7" s="880"/>
      <c r="L7" s="880"/>
      <c r="M7" s="880"/>
      <c r="N7" s="880"/>
      <c r="O7" s="880"/>
      <c r="P7" s="880"/>
      <c r="Q7" s="880"/>
      <c r="R7" s="880"/>
      <c r="S7" s="880"/>
      <c r="T7" s="880"/>
      <c r="U7" s="880"/>
      <c r="V7" s="880"/>
      <c r="W7" s="880"/>
      <c r="X7" s="880"/>
      <c r="Y7" s="880"/>
      <c r="Z7" s="880"/>
      <c r="AA7" s="880"/>
      <c r="AB7" s="880">
        <v>2015</v>
      </c>
      <c r="AC7" s="880"/>
      <c r="AD7" s="880"/>
      <c r="AE7" s="880"/>
      <c r="AF7" s="880"/>
      <c r="AG7" s="880"/>
      <c r="AH7" s="880"/>
      <c r="AI7" s="880"/>
      <c r="AJ7" s="880"/>
      <c r="AK7" s="880"/>
      <c r="AL7" s="880"/>
      <c r="AM7" s="880"/>
      <c r="AN7" s="880"/>
      <c r="AO7" s="880"/>
      <c r="AP7" s="880"/>
      <c r="AQ7" s="880"/>
      <c r="AR7" s="880"/>
      <c r="AS7" s="880"/>
      <c r="AT7" s="880"/>
      <c r="AU7" s="880"/>
      <c r="AV7" s="880"/>
      <c r="AW7" s="880"/>
      <c r="AX7" s="880"/>
      <c r="AY7" s="880"/>
      <c r="AZ7" s="880"/>
      <c r="BA7" s="880"/>
      <c r="BB7" s="880">
        <v>2016</v>
      </c>
      <c r="BC7" s="880"/>
      <c r="BD7" s="880"/>
      <c r="BE7" s="880"/>
      <c r="BF7" s="880"/>
      <c r="BG7" s="880"/>
      <c r="BH7" s="880"/>
      <c r="BI7" s="880"/>
      <c r="BJ7" s="880"/>
      <c r="BK7" s="880"/>
      <c r="BL7" s="880"/>
      <c r="BM7" s="880"/>
      <c r="BN7" s="880"/>
      <c r="BO7" s="880"/>
      <c r="BP7" s="880"/>
      <c r="BQ7" s="880"/>
      <c r="BR7" s="880"/>
      <c r="BS7" s="880"/>
      <c r="BT7" s="880"/>
      <c r="BU7" s="880"/>
      <c r="BV7" s="880"/>
      <c r="BW7" s="880"/>
      <c r="BX7" s="880"/>
      <c r="BY7" s="880"/>
      <c r="BZ7" s="880"/>
      <c r="CA7" s="880"/>
      <c r="CB7" s="880">
        <v>2017</v>
      </c>
      <c r="CC7" s="880"/>
      <c r="CD7" s="880"/>
      <c r="CE7" s="880"/>
      <c r="CF7" s="880"/>
      <c r="CG7" s="880"/>
      <c r="CH7" s="880"/>
      <c r="CI7" s="880"/>
      <c r="CJ7" s="880"/>
      <c r="CK7" s="880"/>
      <c r="CL7" s="880"/>
      <c r="CM7" s="880"/>
      <c r="CN7" s="880"/>
      <c r="CO7" s="880"/>
      <c r="CP7" s="880"/>
      <c r="CQ7" s="880"/>
      <c r="CR7" s="880"/>
      <c r="CS7" s="880"/>
      <c r="CT7" s="880"/>
      <c r="CU7" s="880"/>
      <c r="CV7" s="880"/>
      <c r="CW7" s="880"/>
      <c r="CX7" s="880"/>
      <c r="CY7" s="880"/>
      <c r="CZ7" s="880"/>
      <c r="DA7" s="880"/>
      <c r="DB7" s="880">
        <v>2018</v>
      </c>
      <c r="DC7" s="880"/>
      <c r="DD7" s="880"/>
      <c r="DE7" s="880"/>
      <c r="DF7" s="880"/>
      <c r="DG7" s="880"/>
      <c r="DH7" s="880"/>
      <c r="DI7" s="880"/>
      <c r="DJ7" s="880"/>
      <c r="DK7" s="880"/>
      <c r="DL7" s="880"/>
      <c r="DM7" s="880"/>
      <c r="DN7" s="880"/>
      <c r="DO7" s="880"/>
      <c r="DP7" s="880"/>
      <c r="DQ7" s="880"/>
      <c r="DR7" s="880"/>
      <c r="DS7" s="880"/>
      <c r="DT7" s="880"/>
      <c r="DU7" s="880"/>
      <c r="DV7" s="880"/>
      <c r="DW7" s="880"/>
      <c r="DX7" s="880"/>
      <c r="DY7" s="880"/>
      <c r="DZ7" s="880"/>
      <c r="EA7" s="880"/>
      <c r="EB7" s="880">
        <v>2019</v>
      </c>
      <c r="EC7" s="880"/>
      <c r="ED7" s="880"/>
      <c r="EE7" s="880"/>
      <c r="EF7" s="880"/>
      <c r="EG7" s="880"/>
      <c r="EH7" s="880"/>
      <c r="EI7" s="880"/>
      <c r="EJ7" s="880"/>
      <c r="EK7" s="880"/>
      <c r="EL7" s="880"/>
      <c r="EM7" s="880"/>
      <c r="EN7" s="880"/>
      <c r="EO7" s="880"/>
      <c r="EP7" s="880"/>
      <c r="EQ7" s="880"/>
      <c r="ER7" s="880"/>
      <c r="ES7" s="880"/>
      <c r="ET7" s="880"/>
      <c r="EU7" s="880"/>
      <c r="EV7" s="880"/>
      <c r="EW7" s="880"/>
      <c r="EX7" s="880"/>
      <c r="EY7" s="880"/>
      <c r="EZ7" s="880"/>
      <c r="FA7" s="880"/>
      <c r="FB7" s="880">
        <v>2020</v>
      </c>
      <c r="FC7" s="880"/>
      <c r="FD7" s="880"/>
      <c r="FE7" s="880"/>
      <c r="FF7" s="880"/>
      <c r="FG7" s="880"/>
      <c r="FH7" s="880"/>
      <c r="FI7" s="880"/>
      <c r="FJ7" s="880"/>
      <c r="FK7" s="880"/>
      <c r="FL7" s="880"/>
      <c r="FM7" s="880"/>
      <c r="FN7" s="880"/>
      <c r="FO7" s="880"/>
      <c r="FP7" s="880"/>
      <c r="FQ7" s="880"/>
      <c r="FR7" s="880"/>
      <c r="FS7" s="880"/>
      <c r="FT7" s="880"/>
      <c r="FU7" s="880"/>
      <c r="FV7" s="880"/>
      <c r="FW7" s="880"/>
      <c r="FX7" s="880"/>
      <c r="FY7" s="880"/>
      <c r="FZ7" s="880"/>
      <c r="GA7" s="880"/>
    </row>
    <row r="8" spans="1:183" ht="15.6" x14ac:dyDescent="0.25">
      <c r="A8" s="677" t="s">
        <v>3174</v>
      </c>
      <c r="B8" s="879" t="s">
        <v>3146</v>
      </c>
      <c r="C8" s="879"/>
      <c r="D8" s="879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  <c r="X8" s="674"/>
      <c r="Y8" s="674"/>
      <c r="Z8" s="674"/>
      <c r="AA8" s="674"/>
      <c r="AB8" s="879" t="s">
        <v>3146</v>
      </c>
      <c r="AC8" s="879"/>
      <c r="AD8" s="879"/>
      <c r="AE8" s="674"/>
      <c r="AF8" s="674"/>
      <c r="AG8" s="674"/>
      <c r="AH8" s="674"/>
      <c r="AI8" s="674"/>
      <c r="AJ8" s="674"/>
      <c r="AK8" s="674"/>
      <c r="AL8" s="674"/>
      <c r="AM8" s="674"/>
      <c r="AN8" s="674"/>
      <c r="AO8" s="674"/>
      <c r="AP8" s="674"/>
      <c r="AQ8" s="674"/>
      <c r="AR8" s="674"/>
      <c r="AS8" s="674"/>
      <c r="AT8" s="674"/>
      <c r="AU8" s="674"/>
      <c r="AV8" s="674"/>
      <c r="AW8" s="674"/>
      <c r="AX8" s="674"/>
      <c r="AY8" s="674"/>
      <c r="AZ8" s="674"/>
      <c r="BA8" s="674"/>
      <c r="BB8" s="879" t="s">
        <v>3146</v>
      </c>
      <c r="BC8" s="879"/>
      <c r="BD8" s="879"/>
      <c r="BE8" s="674"/>
      <c r="BF8" s="674"/>
      <c r="BG8" s="674"/>
      <c r="BH8" s="674"/>
      <c r="BI8" s="674"/>
      <c r="BJ8" s="674"/>
      <c r="BK8" s="674"/>
      <c r="BL8" s="674"/>
      <c r="BM8" s="674"/>
      <c r="BN8" s="674"/>
      <c r="BO8" s="674"/>
      <c r="BP8" s="674"/>
      <c r="BQ8" s="674"/>
      <c r="BR8" s="674"/>
      <c r="BS8" s="674"/>
      <c r="BT8" s="674"/>
      <c r="BU8" s="674"/>
      <c r="BV8" s="674"/>
      <c r="BW8" s="674"/>
      <c r="BX8" s="674"/>
      <c r="BY8" s="674"/>
      <c r="BZ8" s="674"/>
      <c r="CA8" s="674"/>
      <c r="CB8" s="879" t="s">
        <v>3146</v>
      </c>
      <c r="CC8" s="879"/>
      <c r="CD8" s="879"/>
      <c r="CE8" s="674"/>
      <c r="CF8" s="674"/>
      <c r="CG8" s="674"/>
      <c r="CH8" s="674"/>
      <c r="CI8" s="674"/>
      <c r="CJ8" s="674"/>
      <c r="CK8" s="674"/>
      <c r="CL8" s="674"/>
      <c r="CM8" s="674"/>
      <c r="CN8" s="674"/>
      <c r="CO8" s="674"/>
      <c r="CP8" s="674"/>
      <c r="CQ8" s="674"/>
      <c r="CR8" s="674"/>
      <c r="CS8" s="674"/>
      <c r="CT8" s="674"/>
      <c r="CU8" s="674"/>
      <c r="CV8" s="674"/>
      <c r="CW8" s="674"/>
      <c r="CX8" s="674"/>
      <c r="CY8" s="674"/>
      <c r="CZ8" s="674"/>
      <c r="DA8" s="674"/>
      <c r="DB8" s="879" t="s">
        <v>3146</v>
      </c>
      <c r="DC8" s="879"/>
      <c r="DD8" s="879"/>
      <c r="DE8" s="674"/>
      <c r="DF8" s="674"/>
      <c r="DG8" s="674"/>
      <c r="DH8" s="674"/>
      <c r="DI8" s="674"/>
      <c r="DJ8" s="674"/>
      <c r="DK8" s="674"/>
      <c r="DL8" s="674"/>
      <c r="DM8" s="674"/>
      <c r="DN8" s="674"/>
      <c r="DO8" s="674"/>
      <c r="DP8" s="674"/>
      <c r="DQ8" s="674"/>
      <c r="DR8" s="674"/>
      <c r="DS8" s="674"/>
      <c r="DT8" s="674"/>
      <c r="DU8" s="674"/>
      <c r="DV8" s="674"/>
      <c r="DW8" s="674"/>
      <c r="DX8" s="674"/>
      <c r="DY8" s="674"/>
      <c r="DZ8" s="674"/>
      <c r="EA8" s="674"/>
      <c r="EB8" s="879" t="s">
        <v>3146</v>
      </c>
      <c r="EC8" s="879"/>
      <c r="ED8" s="879"/>
      <c r="EE8" s="674"/>
      <c r="EF8" s="674"/>
      <c r="EG8" s="674"/>
      <c r="EH8" s="674"/>
      <c r="EI8" s="674"/>
      <c r="EJ8" s="674"/>
      <c r="EK8" s="674"/>
      <c r="EL8" s="674"/>
      <c r="EM8" s="674"/>
      <c r="EN8" s="674"/>
      <c r="EO8" s="674"/>
      <c r="EP8" s="674"/>
      <c r="EQ8" s="674"/>
      <c r="ER8" s="674"/>
      <c r="ES8" s="674"/>
      <c r="ET8" s="674"/>
      <c r="EU8" s="674"/>
      <c r="EV8" s="674"/>
      <c r="EW8" s="674"/>
      <c r="EX8" s="674"/>
      <c r="EY8" s="674"/>
      <c r="EZ8" s="674"/>
      <c r="FA8" s="674"/>
      <c r="FB8" s="879" t="s">
        <v>3146</v>
      </c>
      <c r="FC8" s="879"/>
      <c r="FD8" s="879"/>
      <c r="FE8" s="674"/>
      <c r="FF8" s="674"/>
      <c r="FG8" s="674"/>
      <c r="FH8" s="674"/>
      <c r="FI8" s="674"/>
      <c r="FJ8" s="674"/>
      <c r="FK8" s="674"/>
      <c r="FL8" s="674"/>
      <c r="FM8" s="674"/>
      <c r="FN8" s="674"/>
      <c r="FO8" s="674"/>
      <c r="FP8" s="674"/>
      <c r="FQ8" s="674"/>
      <c r="FR8" s="674"/>
      <c r="FS8" s="674"/>
      <c r="FT8" s="674"/>
      <c r="FU8" s="674"/>
      <c r="FV8" s="674"/>
      <c r="FW8" s="674"/>
      <c r="FX8" s="674"/>
      <c r="FY8" s="674"/>
      <c r="FZ8" s="674"/>
      <c r="GA8" s="674"/>
    </row>
    <row r="9" spans="1:183" x14ac:dyDescent="0.25">
      <c r="A9" s="674"/>
      <c r="B9" s="675" t="s">
        <v>3147</v>
      </c>
      <c r="C9" s="675" t="s">
        <v>3148</v>
      </c>
      <c r="D9" s="675" t="s">
        <v>3149</v>
      </c>
      <c r="E9" s="675" t="s">
        <v>3150</v>
      </c>
      <c r="F9" s="675" t="s">
        <v>3151</v>
      </c>
      <c r="G9" s="675" t="s">
        <v>364</v>
      </c>
      <c r="H9" s="675" t="s">
        <v>3152</v>
      </c>
      <c r="I9" s="675" t="s">
        <v>3153</v>
      </c>
      <c r="J9" s="675" t="s">
        <v>3099</v>
      </c>
      <c r="K9" s="675" t="s">
        <v>3154</v>
      </c>
      <c r="L9" s="675" t="s">
        <v>3155</v>
      </c>
      <c r="M9" s="675" t="s">
        <v>3157</v>
      </c>
      <c r="N9" s="675" t="s">
        <v>3156</v>
      </c>
      <c r="O9" s="675" t="s">
        <v>3158</v>
      </c>
      <c r="P9" s="675" t="s">
        <v>3159</v>
      </c>
      <c r="Q9" s="675" t="s">
        <v>3160</v>
      </c>
      <c r="R9" s="675" t="s">
        <v>3120</v>
      </c>
      <c r="S9" s="675" t="s">
        <v>3117</v>
      </c>
      <c r="T9" s="675" t="s">
        <v>3119</v>
      </c>
      <c r="U9" s="675" t="s">
        <v>3161</v>
      </c>
      <c r="V9" s="675" t="s">
        <v>3162</v>
      </c>
      <c r="W9" s="675" t="s">
        <v>3163</v>
      </c>
      <c r="X9" s="675" t="s">
        <v>3164</v>
      </c>
      <c r="Y9" s="675" t="s">
        <v>3165</v>
      </c>
      <c r="Z9" s="675" t="s">
        <v>3166</v>
      </c>
      <c r="AA9" s="675" t="s">
        <v>3167</v>
      </c>
      <c r="AB9" s="675" t="s">
        <v>3147</v>
      </c>
      <c r="AC9" s="675" t="s">
        <v>3148</v>
      </c>
      <c r="AD9" s="675" t="s">
        <v>3149</v>
      </c>
      <c r="AE9" s="675" t="s">
        <v>3150</v>
      </c>
      <c r="AF9" s="675" t="s">
        <v>3151</v>
      </c>
      <c r="AG9" s="675" t="s">
        <v>364</v>
      </c>
      <c r="AH9" s="675" t="s">
        <v>3152</v>
      </c>
      <c r="AI9" s="675" t="s">
        <v>3153</v>
      </c>
      <c r="AJ9" s="675" t="s">
        <v>3099</v>
      </c>
      <c r="AK9" s="675" t="s">
        <v>3154</v>
      </c>
      <c r="AL9" s="675" t="s">
        <v>3155</v>
      </c>
      <c r="AM9" s="675" t="s">
        <v>3157</v>
      </c>
      <c r="AN9" s="675" t="s">
        <v>3156</v>
      </c>
      <c r="AO9" s="675" t="s">
        <v>3158</v>
      </c>
      <c r="AP9" s="675" t="s">
        <v>3159</v>
      </c>
      <c r="AQ9" s="675" t="s">
        <v>3160</v>
      </c>
      <c r="AR9" s="675" t="s">
        <v>3120</v>
      </c>
      <c r="AS9" s="675" t="s">
        <v>3117</v>
      </c>
      <c r="AT9" s="675" t="s">
        <v>3119</v>
      </c>
      <c r="AU9" s="675" t="s">
        <v>3161</v>
      </c>
      <c r="AV9" s="675" t="s">
        <v>3162</v>
      </c>
      <c r="AW9" s="675" t="s">
        <v>3163</v>
      </c>
      <c r="AX9" s="675" t="s">
        <v>3164</v>
      </c>
      <c r="AY9" s="675" t="s">
        <v>3165</v>
      </c>
      <c r="AZ9" s="675" t="s">
        <v>3166</v>
      </c>
      <c r="BA9" s="675" t="s">
        <v>3167</v>
      </c>
      <c r="BB9" s="675" t="s">
        <v>3147</v>
      </c>
      <c r="BC9" s="675" t="s">
        <v>3148</v>
      </c>
      <c r="BD9" s="675" t="s">
        <v>3149</v>
      </c>
      <c r="BE9" s="675" t="s">
        <v>3150</v>
      </c>
      <c r="BF9" s="675" t="s">
        <v>3151</v>
      </c>
      <c r="BG9" s="675" t="s">
        <v>364</v>
      </c>
      <c r="BH9" s="675" t="s">
        <v>3152</v>
      </c>
      <c r="BI9" s="675" t="s">
        <v>3153</v>
      </c>
      <c r="BJ9" s="675" t="s">
        <v>3099</v>
      </c>
      <c r="BK9" s="675" t="s">
        <v>3154</v>
      </c>
      <c r="BL9" s="675" t="s">
        <v>3155</v>
      </c>
      <c r="BM9" s="675" t="s">
        <v>3157</v>
      </c>
      <c r="BN9" s="675" t="s">
        <v>3156</v>
      </c>
      <c r="BO9" s="675" t="s">
        <v>3158</v>
      </c>
      <c r="BP9" s="675" t="s">
        <v>3159</v>
      </c>
      <c r="BQ9" s="675" t="s">
        <v>3160</v>
      </c>
      <c r="BR9" s="675" t="s">
        <v>3120</v>
      </c>
      <c r="BS9" s="675" t="s">
        <v>3117</v>
      </c>
      <c r="BT9" s="675" t="s">
        <v>3119</v>
      </c>
      <c r="BU9" s="675" t="s">
        <v>3161</v>
      </c>
      <c r="BV9" s="675" t="s">
        <v>3162</v>
      </c>
      <c r="BW9" s="675" t="s">
        <v>3163</v>
      </c>
      <c r="BX9" s="675" t="s">
        <v>3164</v>
      </c>
      <c r="BY9" s="675" t="s">
        <v>3165</v>
      </c>
      <c r="BZ9" s="675" t="s">
        <v>3166</v>
      </c>
      <c r="CA9" s="675" t="s">
        <v>3167</v>
      </c>
      <c r="CB9" s="675" t="s">
        <v>3147</v>
      </c>
      <c r="CC9" s="675" t="s">
        <v>3148</v>
      </c>
      <c r="CD9" s="675" t="s">
        <v>3149</v>
      </c>
      <c r="CE9" s="675" t="s">
        <v>3150</v>
      </c>
      <c r="CF9" s="675" t="s">
        <v>3151</v>
      </c>
      <c r="CG9" s="675" t="s">
        <v>364</v>
      </c>
      <c r="CH9" s="675" t="s">
        <v>3152</v>
      </c>
      <c r="CI9" s="675" t="s">
        <v>3153</v>
      </c>
      <c r="CJ9" s="675" t="s">
        <v>3099</v>
      </c>
      <c r="CK9" s="675" t="s">
        <v>3154</v>
      </c>
      <c r="CL9" s="675" t="s">
        <v>3155</v>
      </c>
      <c r="CM9" s="675" t="s">
        <v>3157</v>
      </c>
      <c r="CN9" s="675" t="s">
        <v>3156</v>
      </c>
      <c r="CO9" s="675" t="s">
        <v>3158</v>
      </c>
      <c r="CP9" s="675" t="s">
        <v>3159</v>
      </c>
      <c r="CQ9" s="675" t="s">
        <v>3160</v>
      </c>
      <c r="CR9" s="675" t="s">
        <v>3120</v>
      </c>
      <c r="CS9" s="675" t="s">
        <v>3117</v>
      </c>
      <c r="CT9" s="675" t="s">
        <v>3119</v>
      </c>
      <c r="CU9" s="675" t="s">
        <v>3161</v>
      </c>
      <c r="CV9" s="675" t="s">
        <v>3162</v>
      </c>
      <c r="CW9" s="675" t="s">
        <v>3163</v>
      </c>
      <c r="CX9" s="675" t="s">
        <v>3164</v>
      </c>
      <c r="CY9" s="675" t="s">
        <v>3165</v>
      </c>
      <c r="CZ9" s="675" t="s">
        <v>3166</v>
      </c>
      <c r="DA9" s="675" t="s">
        <v>3167</v>
      </c>
      <c r="DB9" s="675" t="s">
        <v>3147</v>
      </c>
      <c r="DC9" s="675" t="s">
        <v>3148</v>
      </c>
      <c r="DD9" s="675" t="s">
        <v>3149</v>
      </c>
      <c r="DE9" s="675" t="s">
        <v>3150</v>
      </c>
      <c r="DF9" s="675" t="s">
        <v>3151</v>
      </c>
      <c r="DG9" s="675" t="s">
        <v>364</v>
      </c>
      <c r="DH9" s="675" t="s">
        <v>3152</v>
      </c>
      <c r="DI9" s="675" t="s">
        <v>3153</v>
      </c>
      <c r="DJ9" s="675" t="s">
        <v>3099</v>
      </c>
      <c r="DK9" s="675" t="s">
        <v>3154</v>
      </c>
      <c r="DL9" s="675" t="s">
        <v>3155</v>
      </c>
      <c r="DM9" s="675" t="s">
        <v>3157</v>
      </c>
      <c r="DN9" s="675" t="s">
        <v>3156</v>
      </c>
      <c r="DO9" s="675" t="s">
        <v>3158</v>
      </c>
      <c r="DP9" s="675" t="s">
        <v>3159</v>
      </c>
      <c r="DQ9" s="675" t="s">
        <v>3160</v>
      </c>
      <c r="DR9" s="675" t="s">
        <v>3120</v>
      </c>
      <c r="DS9" s="675" t="s">
        <v>3117</v>
      </c>
      <c r="DT9" s="675" t="s">
        <v>3119</v>
      </c>
      <c r="DU9" s="675" t="s">
        <v>3161</v>
      </c>
      <c r="DV9" s="675" t="s">
        <v>3162</v>
      </c>
      <c r="DW9" s="675" t="s">
        <v>3163</v>
      </c>
      <c r="DX9" s="675" t="s">
        <v>3164</v>
      </c>
      <c r="DY9" s="675" t="s">
        <v>3165</v>
      </c>
      <c r="DZ9" s="675" t="s">
        <v>3166</v>
      </c>
      <c r="EA9" s="675" t="s">
        <v>3167</v>
      </c>
      <c r="EB9" s="675" t="s">
        <v>3147</v>
      </c>
      <c r="EC9" s="675" t="s">
        <v>3148</v>
      </c>
      <c r="ED9" s="675" t="s">
        <v>3149</v>
      </c>
      <c r="EE9" s="675" t="s">
        <v>3150</v>
      </c>
      <c r="EF9" s="675" t="s">
        <v>3151</v>
      </c>
      <c r="EG9" s="675" t="s">
        <v>364</v>
      </c>
      <c r="EH9" s="675" t="s">
        <v>3152</v>
      </c>
      <c r="EI9" s="675" t="s">
        <v>3153</v>
      </c>
      <c r="EJ9" s="675" t="s">
        <v>3099</v>
      </c>
      <c r="EK9" s="675" t="s">
        <v>3154</v>
      </c>
      <c r="EL9" s="675" t="s">
        <v>3155</v>
      </c>
      <c r="EM9" s="675" t="s">
        <v>3157</v>
      </c>
      <c r="EN9" s="675" t="s">
        <v>3156</v>
      </c>
      <c r="EO9" s="675" t="s">
        <v>3158</v>
      </c>
      <c r="EP9" s="675" t="s">
        <v>3159</v>
      </c>
      <c r="EQ9" s="675" t="s">
        <v>3160</v>
      </c>
      <c r="ER9" s="675" t="s">
        <v>3120</v>
      </c>
      <c r="ES9" s="675" t="s">
        <v>3117</v>
      </c>
      <c r="ET9" s="675" t="s">
        <v>3119</v>
      </c>
      <c r="EU9" s="675" t="s">
        <v>3161</v>
      </c>
      <c r="EV9" s="675" t="s">
        <v>3162</v>
      </c>
      <c r="EW9" s="675" t="s">
        <v>3163</v>
      </c>
      <c r="EX9" s="675" t="s">
        <v>3164</v>
      </c>
      <c r="EY9" s="675" t="s">
        <v>3165</v>
      </c>
      <c r="EZ9" s="675" t="s">
        <v>3166</v>
      </c>
      <c r="FA9" s="675" t="s">
        <v>3167</v>
      </c>
      <c r="FB9" s="675" t="s">
        <v>3147</v>
      </c>
      <c r="FC9" s="675" t="s">
        <v>3148</v>
      </c>
      <c r="FD9" s="675" t="s">
        <v>3149</v>
      </c>
      <c r="FE9" s="675" t="s">
        <v>3150</v>
      </c>
      <c r="FF9" s="675" t="s">
        <v>3151</v>
      </c>
      <c r="FG9" s="675" t="s">
        <v>364</v>
      </c>
      <c r="FH9" s="675" t="s">
        <v>3152</v>
      </c>
      <c r="FI9" s="675" t="s">
        <v>3153</v>
      </c>
      <c r="FJ9" s="675" t="s">
        <v>3099</v>
      </c>
      <c r="FK9" s="675" t="s">
        <v>3154</v>
      </c>
      <c r="FL9" s="675" t="s">
        <v>3155</v>
      </c>
      <c r="FM9" s="675" t="s">
        <v>3157</v>
      </c>
      <c r="FN9" s="675" t="s">
        <v>3156</v>
      </c>
      <c r="FO9" s="675" t="s">
        <v>3158</v>
      </c>
      <c r="FP9" s="675" t="s">
        <v>3159</v>
      </c>
      <c r="FQ9" s="675" t="s">
        <v>3160</v>
      </c>
      <c r="FR9" s="675" t="s">
        <v>3120</v>
      </c>
      <c r="FS9" s="675" t="s">
        <v>3117</v>
      </c>
      <c r="FT9" s="675" t="s">
        <v>3119</v>
      </c>
      <c r="FU9" s="675" t="s">
        <v>3161</v>
      </c>
      <c r="FV9" s="675" t="s">
        <v>3162</v>
      </c>
      <c r="FW9" s="675" t="s">
        <v>3163</v>
      </c>
      <c r="FX9" s="675" t="s">
        <v>3164</v>
      </c>
      <c r="FY9" s="675" t="s">
        <v>3165</v>
      </c>
      <c r="FZ9" s="675" t="s">
        <v>3166</v>
      </c>
      <c r="GA9" s="675" t="s">
        <v>3167</v>
      </c>
    </row>
    <row r="10" spans="1:183" ht="15.6" x14ac:dyDescent="0.3">
      <c r="A10" s="676" t="s">
        <v>412</v>
      </c>
    </row>
    <row r="11" spans="1:183" ht="15.6" x14ac:dyDescent="0.3">
      <c r="A11" s="676" t="s">
        <v>2986</v>
      </c>
    </row>
    <row r="12" spans="1:183" ht="15.6" x14ac:dyDescent="0.3">
      <c r="A12" s="676" t="s">
        <v>2987</v>
      </c>
    </row>
    <row r="13" spans="1:183" ht="15.6" x14ac:dyDescent="0.3">
      <c r="A13" s="676" t="s">
        <v>2988</v>
      </c>
    </row>
    <row r="14" spans="1:183" ht="15.6" x14ac:dyDescent="0.3">
      <c r="A14" s="676" t="s">
        <v>2989</v>
      </c>
    </row>
    <row r="15" spans="1:183" ht="15.6" x14ac:dyDescent="0.3">
      <c r="A15" s="676" t="s">
        <v>2990</v>
      </c>
    </row>
    <row r="16" spans="1:183" ht="15.6" x14ac:dyDescent="0.3">
      <c r="A16" s="676" t="s">
        <v>2991</v>
      </c>
    </row>
    <row r="17" spans="1:1" ht="15.6" x14ac:dyDescent="0.3">
      <c r="A17" s="676" t="s">
        <v>2992</v>
      </c>
    </row>
    <row r="18" spans="1:1" ht="15.6" x14ac:dyDescent="0.3">
      <c r="A18" s="676" t="s">
        <v>2993</v>
      </c>
    </row>
    <row r="19" spans="1:1" ht="15.6" x14ac:dyDescent="0.3">
      <c r="A19" s="676" t="s">
        <v>2994</v>
      </c>
    </row>
    <row r="20" spans="1:1" ht="15.6" x14ac:dyDescent="0.3">
      <c r="A20" s="676" t="s">
        <v>2995</v>
      </c>
    </row>
    <row r="21" spans="1:1" ht="15.6" x14ac:dyDescent="0.3">
      <c r="A21" s="676" t="s">
        <v>2996</v>
      </c>
    </row>
    <row r="22" spans="1:1" ht="15.6" x14ac:dyDescent="0.3">
      <c r="A22" s="676" t="s">
        <v>2997</v>
      </c>
    </row>
    <row r="23" spans="1:1" ht="15.6" x14ac:dyDescent="0.3">
      <c r="A23" s="676" t="s">
        <v>2998</v>
      </c>
    </row>
    <row r="24" spans="1:1" ht="15.6" x14ac:dyDescent="0.3">
      <c r="A24" s="676" t="s">
        <v>2999</v>
      </c>
    </row>
    <row r="25" spans="1:1" ht="15.6" x14ac:dyDescent="0.3">
      <c r="A25" s="676" t="s">
        <v>3000</v>
      </c>
    </row>
    <row r="26" spans="1:1" ht="15.6" x14ac:dyDescent="0.3">
      <c r="A26" s="676" t="s">
        <v>3001</v>
      </c>
    </row>
    <row r="27" spans="1:1" ht="15.6" x14ac:dyDescent="0.3">
      <c r="A27" s="676" t="s">
        <v>3002</v>
      </c>
    </row>
    <row r="28" spans="1:1" ht="15.6" x14ac:dyDescent="0.3">
      <c r="A28" s="676" t="s">
        <v>3003</v>
      </c>
    </row>
    <row r="29" spans="1:1" ht="15.6" x14ac:dyDescent="0.3">
      <c r="A29" s="676" t="s">
        <v>3004</v>
      </c>
    </row>
    <row r="30" spans="1:1" ht="15.6" x14ac:dyDescent="0.3">
      <c r="A30" s="676" t="s">
        <v>3005</v>
      </c>
    </row>
    <row r="31" spans="1:1" ht="15.6" x14ac:dyDescent="0.3">
      <c r="A31" s="676" t="s">
        <v>3006</v>
      </c>
    </row>
    <row r="32" spans="1:1" ht="15.6" x14ac:dyDescent="0.3">
      <c r="A32" s="676" t="s">
        <v>3007</v>
      </c>
    </row>
    <row r="33" spans="1:1" ht="15.6" x14ac:dyDescent="0.3">
      <c r="A33" s="676" t="s">
        <v>3008</v>
      </c>
    </row>
    <row r="34" spans="1:1" ht="15.6" x14ac:dyDescent="0.3">
      <c r="A34" s="676" t="s">
        <v>3009</v>
      </c>
    </row>
    <row r="35" spans="1:1" ht="15.6" x14ac:dyDescent="0.3">
      <c r="A35" s="676" t="s">
        <v>3010</v>
      </c>
    </row>
    <row r="36" spans="1:1" ht="15.6" x14ac:dyDescent="0.3">
      <c r="A36" s="676" t="s">
        <v>3011</v>
      </c>
    </row>
    <row r="37" spans="1:1" ht="15.6" x14ac:dyDescent="0.3">
      <c r="A37" s="676" t="s">
        <v>3012</v>
      </c>
    </row>
    <row r="38" spans="1:1" ht="15.6" x14ac:dyDescent="0.3">
      <c r="A38" s="676" t="s">
        <v>3013</v>
      </c>
    </row>
    <row r="39" spans="1:1" ht="15.6" x14ac:dyDescent="0.3">
      <c r="A39" s="676" t="s">
        <v>3014</v>
      </c>
    </row>
    <row r="40" spans="1:1" ht="15.6" x14ac:dyDescent="0.3">
      <c r="A40" s="676" t="s">
        <v>3015</v>
      </c>
    </row>
    <row r="41" spans="1:1" ht="15.6" x14ac:dyDescent="0.3">
      <c r="A41" s="676" t="s">
        <v>3016</v>
      </c>
    </row>
    <row r="42" spans="1:1" ht="15.6" x14ac:dyDescent="0.3">
      <c r="A42" s="676" t="s">
        <v>3017</v>
      </c>
    </row>
    <row r="43" spans="1:1" ht="15.6" x14ac:dyDescent="0.3">
      <c r="A43" s="676" t="s">
        <v>3018</v>
      </c>
    </row>
    <row r="44" spans="1:1" ht="15.6" x14ac:dyDescent="0.3">
      <c r="A44" s="676" t="s">
        <v>3019</v>
      </c>
    </row>
    <row r="45" spans="1:1" ht="15.6" x14ac:dyDescent="0.3">
      <c r="A45" s="676" t="s">
        <v>3020</v>
      </c>
    </row>
    <row r="46" spans="1:1" ht="15.6" x14ac:dyDescent="0.3">
      <c r="A46" s="676" t="s">
        <v>3021</v>
      </c>
    </row>
    <row r="47" spans="1:1" ht="15.6" x14ac:dyDescent="0.3">
      <c r="A47" s="676" t="s">
        <v>3022</v>
      </c>
    </row>
    <row r="48" spans="1:1" ht="15.6" x14ac:dyDescent="0.3">
      <c r="A48" s="676" t="s">
        <v>3023</v>
      </c>
    </row>
    <row r="49" spans="1:1" ht="15.6" x14ac:dyDescent="0.3">
      <c r="A49" s="676" t="s">
        <v>3024</v>
      </c>
    </row>
    <row r="50" spans="1:1" ht="15.6" x14ac:dyDescent="0.3">
      <c r="A50" s="676" t="s">
        <v>3025</v>
      </c>
    </row>
    <row r="51" spans="1:1" ht="15.6" x14ac:dyDescent="0.3">
      <c r="A51" s="676" t="s">
        <v>3026</v>
      </c>
    </row>
    <row r="52" spans="1:1" ht="15.6" x14ac:dyDescent="0.3">
      <c r="A52" s="676" t="s">
        <v>3027</v>
      </c>
    </row>
    <row r="53" spans="1:1" ht="15.6" x14ac:dyDescent="0.3">
      <c r="A53" s="676" t="s">
        <v>3028</v>
      </c>
    </row>
    <row r="54" spans="1:1" ht="15.6" x14ac:dyDescent="0.3">
      <c r="A54" s="676" t="s">
        <v>3029</v>
      </c>
    </row>
    <row r="55" spans="1:1" ht="15.6" x14ac:dyDescent="0.3">
      <c r="A55" s="676" t="s">
        <v>3030</v>
      </c>
    </row>
    <row r="56" spans="1:1" ht="15.6" x14ac:dyDescent="0.3">
      <c r="A56" s="676" t="s">
        <v>3031</v>
      </c>
    </row>
    <row r="57" spans="1:1" ht="15.6" x14ac:dyDescent="0.3">
      <c r="A57" s="676" t="s">
        <v>3032</v>
      </c>
    </row>
    <row r="58" spans="1:1" ht="15.6" x14ac:dyDescent="0.3">
      <c r="A58" s="676" t="s">
        <v>3033</v>
      </c>
    </row>
    <row r="59" spans="1:1" ht="15.6" x14ac:dyDescent="0.3">
      <c r="A59" s="676" t="s">
        <v>3034</v>
      </c>
    </row>
    <row r="60" spans="1:1" ht="15.6" x14ac:dyDescent="0.3">
      <c r="A60" s="676" t="s">
        <v>3035</v>
      </c>
    </row>
    <row r="61" spans="1:1" ht="15.6" x14ac:dyDescent="0.3">
      <c r="A61" s="676" t="s">
        <v>3036</v>
      </c>
    </row>
    <row r="62" spans="1:1" ht="15.6" x14ac:dyDescent="0.3">
      <c r="A62" s="676" t="s">
        <v>3037</v>
      </c>
    </row>
    <row r="63" spans="1:1" ht="15.6" x14ac:dyDescent="0.3">
      <c r="A63" s="676" t="s">
        <v>3038</v>
      </c>
    </row>
    <row r="64" spans="1:1" ht="15.6" x14ac:dyDescent="0.3">
      <c r="A64" s="676" t="s">
        <v>3039</v>
      </c>
    </row>
    <row r="65" spans="1:1" ht="15.6" x14ac:dyDescent="0.3">
      <c r="A65" s="676" t="s">
        <v>3040</v>
      </c>
    </row>
    <row r="66" spans="1:1" ht="15.6" x14ac:dyDescent="0.3">
      <c r="A66" s="676" t="s">
        <v>3041</v>
      </c>
    </row>
    <row r="67" spans="1:1" ht="15.6" x14ac:dyDescent="0.3">
      <c r="A67" s="676" t="s">
        <v>3042</v>
      </c>
    </row>
    <row r="68" spans="1:1" ht="15.6" x14ac:dyDescent="0.3">
      <c r="A68" s="676" t="s">
        <v>3043</v>
      </c>
    </row>
    <row r="69" spans="1:1" ht="15.6" x14ac:dyDescent="0.3">
      <c r="A69" s="676" t="s">
        <v>3044</v>
      </c>
    </row>
    <row r="70" spans="1:1" ht="15.6" x14ac:dyDescent="0.3">
      <c r="A70" s="676" t="s">
        <v>3045</v>
      </c>
    </row>
    <row r="71" spans="1:1" ht="15.6" x14ac:dyDescent="0.3">
      <c r="A71" s="676" t="s">
        <v>3046</v>
      </c>
    </row>
    <row r="72" spans="1:1" ht="15.6" x14ac:dyDescent="0.3">
      <c r="A72" s="676" t="s">
        <v>3047</v>
      </c>
    </row>
    <row r="73" spans="1:1" ht="15.6" x14ac:dyDescent="0.3">
      <c r="A73" s="676" t="s">
        <v>3048</v>
      </c>
    </row>
    <row r="74" spans="1:1" ht="15.6" x14ac:dyDescent="0.3">
      <c r="A74" s="676" t="s">
        <v>3049</v>
      </c>
    </row>
    <row r="75" spans="1:1" ht="15.6" x14ac:dyDescent="0.3">
      <c r="A75" s="676" t="s">
        <v>3050</v>
      </c>
    </row>
    <row r="76" spans="1:1" ht="15.6" x14ac:dyDescent="0.3">
      <c r="A76" s="676" t="s">
        <v>3051</v>
      </c>
    </row>
    <row r="77" spans="1:1" ht="15.6" x14ac:dyDescent="0.3">
      <c r="A77" s="676" t="s">
        <v>3052</v>
      </c>
    </row>
    <row r="78" spans="1:1" ht="15.6" x14ac:dyDescent="0.3">
      <c r="A78" s="676" t="s">
        <v>3053</v>
      </c>
    </row>
    <row r="79" spans="1:1" ht="15.6" x14ac:dyDescent="0.3">
      <c r="A79" s="676" t="s">
        <v>3054</v>
      </c>
    </row>
    <row r="80" spans="1:1" ht="15.6" x14ac:dyDescent="0.3">
      <c r="A80" s="676" t="s">
        <v>3055</v>
      </c>
    </row>
    <row r="81" spans="1:1" ht="15.6" x14ac:dyDescent="0.3">
      <c r="A81" s="676" t="s">
        <v>3056</v>
      </c>
    </row>
    <row r="82" spans="1:1" ht="15.6" x14ac:dyDescent="0.3">
      <c r="A82" s="676" t="s">
        <v>3057</v>
      </c>
    </row>
    <row r="83" spans="1:1" ht="15.6" x14ac:dyDescent="0.3">
      <c r="A83" s="676" t="s">
        <v>3058</v>
      </c>
    </row>
    <row r="84" spans="1:1" ht="15.6" x14ac:dyDescent="0.3">
      <c r="A84" s="676" t="s">
        <v>3059</v>
      </c>
    </row>
    <row r="85" spans="1:1" ht="15.6" x14ac:dyDescent="0.3">
      <c r="A85" s="676" t="s">
        <v>3060</v>
      </c>
    </row>
    <row r="86" spans="1:1" ht="15.6" x14ac:dyDescent="0.3">
      <c r="A86" s="676" t="s">
        <v>3061</v>
      </c>
    </row>
    <row r="87" spans="1:1" ht="15.6" x14ac:dyDescent="0.3">
      <c r="A87" s="676" t="s">
        <v>3062</v>
      </c>
    </row>
    <row r="88" spans="1:1" ht="15.6" x14ac:dyDescent="0.3">
      <c r="A88" s="676" t="s">
        <v>3063</v>
      </c>
    </row>
    <row r="89" spans="1:1" ht="15.6" x14ac:dyDescent="0.3">
      <c r="A89" s="676" t="s">
        <v>3064</v>
      </c>
    </row>
    <row r="90" spans="1:1" ht="15.6" x14ac:dyDescent="0.3">
      <c r="A90" s="676" t="s">
        <v>3065</v>
      </c>
    </row>
    <row r="91" spans="1:1" ht="15.6" x14ac:dyDescent="0.3">
      <c r="A91" s="676" t="s">
        <v>3066</v>
      </c>
    </row>
    <row r="92" spans="1:1" ht="15.6" x14ac:dyDescent="0.3">
      <c r="A92" s="676" t="s">
        <v>3067</v>
      </c>
    </row>
    <row r="93" spans="1:1" ht="15.6" x14ac:dyDescent="0.3">
      <c r="A93" s="676" t="s">
        <v>3068</v>
      </c>
    </row>
    <row r="94" spans="1:1" ht="15.6" x14ac:dyDescent="0.3">
      <c r="A94" s="676" t="s">
        <v>3069</v>
      </c>
    </row>
    <row r="95" spans="1:1" ht="15.6" x14ac:dyDescent="0.3">
      <c r="A95" s="676" t="s">
        <v>3070</v>
      </c>
    </row>
    <row r="96" spans="1:1" ht="15.6" x14ac:dyDescent="0.3">
      <c r="A96" s="676" t="s">
        <v>3071</v>
      </c>
    </row>
    <row r="97" spans="1:183" ht="15.6" x14ac:dyDescent="0.3">
      <c r="A97" s="676" t="s">
        <v>3072</v>
      </c>
    </row>
    <row r="98" spans="1:183" ht="15.6" x14ac:dyDescent="0.3">
      <c r="A98" s="676" t="s">
        <v>3073</v>
      </c>
    </row>
    <row r="99" spans="1:183" ht="15.6" x14ac:dyDescent="0.3">
      <c r="A99" s="676" t="s">
        <v>3074</v>
      </c>
    </row>
    <row r="100" spans="1:183" ht="15.6" x14ac:dyDescent="0.3">
      <c r="A100" s="676" t="s">
        <v>3075</v>
      </c>
    </row>
    <row r="101" spans="1:183" ht="15.6" x14ac:dyDescent="0.3">
      <c r="A101" s="676" t="s">
        <v>3076</v>
      </c>
    </row>
    <row r="102" spans="1:183" ht="15.6" x14ac:dyDescent="0.3">
      <c r="A102" s="676" t="s">
        <v>3077</v>
      </c>
    </row>
    <row r="103" spans="1:183" ht="15.6" x14ac:dyDescent="0.3">
      <c r="A103" s="676" t="s">
        <v>3078</v>
      </c>
    </row>
    <row r="106" spans="1:183" x14ac:dyDescent="0.25">
      <c r="B106" s="880">
        <v>2014</v>
      </c>
      <c r="C106" s="880"/>
      <c r="D106" s="880"/>
      <c r="E106" s="880"/>
      <c r="F106" s="880"/>
      <c r="G106" s="880"/>
      <c r="H106" s="880"/>
      <c r="I106" s="880"/>
      <c r="J106" s="880"/>
      <c r="K106" s="880"/>
      <c r="L106" s="880"/>
      <c r="M106" s="880"/>
      <c r="N106" s="880"/>
      <c r="O106" s="880"/>
      <c r="P106" s="880"/>
      <c r="Q106" s="880"/>
      <c r="R106" s="880"/>
      <c r="S106" s="880"/>
      <c r="T106" s="880"/>
      <c r="U106" s="880"/>
      <c r="V106" s="880"/>
      <c r="W106" s="880"/>
      <c r="X106" s="880"/>
      <c r="Y106" s="880"/>
      <c r="Z106" s="880"/>
      <c r="AA106" s="880"/>
      <c r="AB106" s="880">
        <v>2015</v>
      </c>
      <c r="AC106" s="880"/>
      <c r="AD106" s="880"/>
      <c r="AE106" s="880"/>
      <c r="AF106" s="880"/>
      <c r="AG106" s="880"/>
      <c r="AH106" s="880"/>
      <c r="AI106" s="880"/>
      <c r="AJ106" s="880"/>
      <c r="AK106" s="880"/>
      <c r="AL106" s="880"/>
      <c r="AM106" s="880"/>
      <c r="AN106" s="880"/>
      <c r="AO106" s="880"/>
      <c r="AP106" s="880"/>
      <c r="AQ106" s="880"/>
      <c r="AR106" s="880"/>
      <c r="AS106" s="880"/>
      <c r="AT106" s="880"/>
      <c r="AU106" s="880"/>
      <c r="AV106" s="880"/>
      <c r="AW106" s="880"/>
      <c r="AX106" s="880"/>
      <c r="AY106" s="880"/>
      <c r="AZ106" s="880"/>
      <c r="BA106" s="880"/>
      <c r="BB106" s="880">
        <v>2016</v>
      </c>
      <c r="BC106" s="880"/>
      <c r="BD106" s="880"/>
      <c r="BE106" s="880"/>
      <c r="BF106" s="880"/>
      <c r="BG106" s="880"/>
      <c r="BH106" s="880"/>
      <c r="BI106" s="880"/>
      <c r="BJ106" s="880"/>
      <c r="BK106" s="880"/>
      <c r="BL106" s="880"/>
      <c r="BM106" s="880"/>
      <c r="BN106" s="880"/>
      <c r="BO106" s="880"/>
      <c r="BP106" s="880"/>
      <c r="BQ106" s="880"/>
      <c r="BR106" s="880"/>
      <c r="BS106" s="880"/>
      <c r="BT106" s="880"/>
      <c r="BU106" s="880"/>
      <c r="BV106" s="880"/>
      <c r="BW106" s="880"/>
      <c r="BX106" s="880"/>
      <c r="BY106" s="880"/>
      <c r="BZ106" s="880"/>
      <c r="CA106" s="880"/>
      <c r="CB106" s="880">
        <v>2017</v>
      </c>
      <c r="CC106" s="880"/>
      <c r="CD106" s="880"/>
      <c r="CE106" s="880"/>
      <c r="CF106" s="880"/>
      <c r="CG106" s="880"/>
      <c r="CH106" s="880"/>
      <c r="CI106" s="880"/>
      <c r="CJ106" s="880"/>
      <c r="CK106" s="880"/>
      <c r="CL106" s="880"/>
      <c r="CM106" s="880"/>
      <c r="CN106" s="880"/>
      <c r="CO106" s="880"/>
      <c r="CP106" s="880"/>
      <c r="CQ106" s="880"/>
      <c r="CR106" s="880"/>
      <c r="CS106" s="880"/>
      <c r="CT106" s="880"/>
      <c r="CU106" s="880"/>
      <c r="CV106" s="880"/>
      <c r="CW106" s="880"/>
      <c r="CX106" s="880"/>
      <c r="CY106" s="880"/>
      <c r="CZ106" s="880"/>
      <c r="DA106" s="880"/>
      <c r="DB106" s="880">
        <v>2018</v>
      </c>
      <c r="DC106" s="880"/>
      <c r="DD106" s="880"/>
      <c r="DE106" s="880"/>
      <c r="DF106" s="880"/>
      <c r="DG106" s="880"/>
      <c r="DH106" s="880"/>
      <c r="DI106" s="880"/>
      <c r="DJ106" s="880"/>
      <c r="DK106" s="880"/>
      <c r="DL106" s="880"/>
      <c r="DM106" s="880"/>
      <c r="DN106" s="880"/>
      <c r="DO106" s="880"/>
      <c r="DP106" s="880"/>
      <c r="DQ106" s="880"/>
      <c r="DR106" s="880"/>
      <c r="DS106" s="880"/>
      <c r="DT106" s="880"/>
      <c r="DU106" s="880"/>
      <c r="DV106" s="880"/>
      <c r="DW106" s="880"/>
      <c r="DX106" s="880"/>
      <c r="DY106" s="880"/>
      <c r="DZ106" s="880"/>
      <c r="EA106" s="880"/>
      <c r="EB106" s="880">
        <v>2019</v>
      </c>
      <c r="EC106" s="880"/>
      <c r="ED106" s="880"/>
      <c r="EE106" s="880"/>
      <c r="EF106" s="880"/>
      <c r="EG106" s="880"/>
      <c r="EH106" s="880"/>
      <c r="EI106" s="880"/>
      <c r="EJ106" s="880"/>
      <c r="EK106" s="880"/>
      <c r="EL106" s="880"/>
      <c r="EM106" s="880"/>
      <c r="EN106" s="880"/>
      <c r="EO106" s="880"/>
      <c r="EP106" s="880"/>
      <c r="EQ106" s="880"/>
      <c r="ER106" s="880"/>
      <c r="ES106" s="880"/>
      <c r="ET106" s="880"/>
      <c r="EU106" s="880"/>
      <c r="EV106" s="880"/>
      <c r="EW106" s="880"/>
      <c r="EX106" s="880"/>
      <c r="EY106" s="880"/>
      <c r="EZ106" s="880"/>
      <c r="FA106" s="880"/>
      <c r="FB106" s="880">
        <v>2020</v>
      </c>
      <c r="FC106" s="880"/>
      <c r="FD106" s="880"/>
      <c r="FE106" s="880"/>
      <c r="FF106" s="880"/>
      <c r="FG106" s="880"/>
      <c r="FH106" s="880"/>
      <c r="FI106" s="880"/>
      <c r="FJ106" s="880"/>
      <c r="FK106" s="880"/>
      <c r="FL106" s="880"/>
      <c r="FM106" s="880"/>
      <c r="FN106" s="880"/>
      <c r="FO106" s="880"/>
      <c r="FP106" s="880"/>
      <c r="FQ106" s="880"/>
      <c r="FR106" s="880"/>
      <c r="FS106" s="880"/>
      <c r="FT106" s="880"/>
      <c r="FU106" s="880"/>
      <c r="FV106" s="880"/>
      <c r="FW106" s="880"/>
      <c r="FX106" s="880"/>
      <c r="FY106" s="880"/>
      <c r="FZ106" s="880"/>
      <c r="GA106" s="880"/>
    </row>
    <row r="107" spans="1:183" ht="15.6" x14ac:dyDescent="0.25">
      <c r="A107" s="677" t="s">
        <v>3173</v>
      </c>
      <c r="B107" s="879" t="s">
        <v>3146</v>
      </c>
      <c r="C107" s="879"/>
      <c r="D107" s="879"/>
      <c r="E107" s="674"/>
      <c r="F107" s="674"/>
      <c r="G107" s="674"/>
      <c r="H107" s="674"/>
      <c r="I107" s="674"/>
      <c r="J107" s="674"/>
      <c r="K107" s="674"/>
      <c r="L107" s="674"/>
      <c r="M107" s="674"/>
      <c r="N107" s="674"/>
      <c r="O107" s="674"/>
      <c r="P107" s="674"/>
      <c r="Q107" s="674"/>
      <c r="R107" s="674"/>
      <c r="S107" s="674"/>
      <c r="T107" s="674"/>
      <c r="U107" s="674"/>
      <c r="V107" s="674"/>
      <c r="W107" s="674"/>
      <c r="X107" s="674"/>
      <c r="Y107" s="674"/>
      <c r="Z107" s="674"/>
      <c r="AA107" s="674"/>
      <c r="AB107" s="879" t="s">
        <v>3146</v>
      </c>
      <c r="AC107" s="879"/>
      <c r="AD107" s="879"/>
      <c r="AE107" s="674"/>
      <c r="AF107" s="674"/>
      <c r="AG107" s="674"/>
      <c r="AH107" s="674"/>
      <c r="AI107" s="674"/>
      <c r="AJ107" s="674"/>
      <c r="AK107" s="674"/>
      <c r="AL107" s="674"/>
      <c r="AM107" s="674"/>
      <c r="AN107" s="674"/>
      <c r="AO107" s="674"/>
      <c r="AP107" s="674"/>
      <c r="AQ107" s="674"/>
      <c r="AR107" s="674"/>
      <c r="AS107" s="674"/>
      <c r="AT107" s="674"/>
      <c r="AU107" s="674"/>
      <c r="AV107" s="674"/>
      <c r="AW107" s="674"/>
      <c r="AX107" s="674"/>
      <c r="AY107" s="674"/>
      <c r="AZ107" s="674"/>
      <c r="BA107" s="674"/>
      <c r="BB107" s="879" t="s">
        <v>3146</v>
      </c>
      <c r="BC107" s="879"/>
      <c r="BD107" s="879"/>
      <c r="BE107" s="674"/>
      <c r="BF107" s="674"/>
      <c r="BG107" s="674"/>
      <c r="BH107" s="674"/>
      <c r="BI107" s="674"/>
      <c r="BJ107" s="674"/>
      <c r="BK107" s="674"/>
      <c r="BL107" s="674"/>
      <c r="BM107" s="674"/>
      <c r="BN107" s="674"/>
      <c r="BO107" s="674"/>
      <c r="BP107" s="674"/>
      <c r="BQ107" s="674"/>
      <c r="BR107" s="674"/>
      <c r="BS107" s="674"/>
      <c r="BT107" s="674"/>
      <c r="BU107" s="674"/>
      <c r="BV107" s="674"/>
      <c r="BW107" s="674"/>
      <c r="BX107" s="674"/>
      <c r="BY107" s="674"/>
      <c r="BZ107" s="674"/>
      <c r="CA107" s="674"/>
      <c r="CB107" s="879" t="s">
        <v>3146</v>
      </c>
      <c r="CC107" s="879"/>
      <c r="CD107" s="879"/>
      <c r="CE107" s="674"/>
      <c r="CF107" s="674"/>
      <c r="CG107" s="674"/>
      <c r="CH107" s="674"/>
      <c r="CI107" s="674"/>
      <c r="CJ107" s="674"/>
      <c r="CK107" s="674"/>
      <c r="CL107" s="674"/>
      <c r="CM107" s="674"/>
      <c r="CN107" s="674"/>
      <c r="CO107" s="674"/>
      <c r="CP107" s="674"/>
      <c r="CQ107" s="674"/>
      <c r="CR107" s="674"/>
      <c r="CS107" s="674"/>
      <c r="CT107" s="674"/>
      <c r="CU107" s="674"/>
      <c r="CV107" s="674"/>
      <c r="CW107" s="674"/>
      <c r="CX107" s="674"/>
      <c r="CY107" s="674"/>
      <c r="CZ107" s="674"/>
      <c r="DA107" s="674"/>
      <c r="DB107" s="879" t="s">
        <v>3146</v>
      </c>
      <c r="DC107" s="879"/>
      <c r="DD107" s="879"/>
      <c r="DE107" s="674"/>
      <c r="DF107" s="674"/>
      <c r="DG107" s="674"/>
      <c r="DH107" s="674"/>
      <c r="DI107" s="674"/>
      <c r="DJ107" s="674"/>
      <c r="DK107" s="674"/>
      <c r="DL107" s="674"/>
      <c r="DM107" s="674"/>
      <c r="DN107" s="674"/>
      <c r="DO107" s="674"/>
      <c r="DP107" s="674"/>
      <c r="DQ107" s="674"/>
      <c r="DR107" s="674"/>
      <c r="DS107" s="674"/>
      <c r="DT107" s="674"/>
      <c r="DU107" s="674"/>
      <c r="DV107" s="674"/>
      <c r="DW107" s="674"/>
      <c r="DX107" s="674"/>
      <c r="DY107" s="674"/>
      <c r="DZ107" s="674"/>
      <c r="EA107" s="674"/>
      <c r="EB107" s="879" t="s">
        <v>3146</v>
      </c>
      <c r="EC107" s="879"/>
      <c r="ED107" s="879"/>
      <c r="EE107" s="674"/>
      <c r="EF107" s="674"/>
      <c r="EG107" s="674"/>
      <c r="EH107" s="674"/>
      <c r="EI107" s="674"/>
      <c r="EJ107" s="674"/>
      <c r="EK107" s="674"/>
      <c r="EL107" s="674"/>
      <c r="EM107" s="674"/>
      <c r="EN107" s="674"/>
      <c r="EO107" s="674"/>
      <c r="EP107" s="674"/>
      <c r="EQ107" s="674"/>
      <c r="ER107" s="674"/>
      <c r="ES107" s="674"/>
      <c r="ET107" s="674"/>
      <c r="EU107" s="674"/>
      <c r="EV107" s="674"/>
      <c r="EW107" s="674"/>
      <c r="EX107" s="674"/>
      <c r="EY107" s="674"/>
      <c r="EZ107" s="674"/>
      <c r="FA107" s="674"/>
      <c r="FB107" s="879" t="s">
        <v>3146</v>
      </c>
      <c r="FC107" s="879"/>
      <c r="FD107" s="879"/>
      <c r="FE107" s="674"/>
      <c r="FF107" s="674"/>
      <c r="FG107" s="674"/>
      <c r="FH107" s="674"/>
      <c r="FI107" s="674"/>
      <c r="FJ107" s="674"/>
      <c r="FK107" s="674"/>
      <c r="FL107" s="674"/>
      <c r="FM107" s="674"/>
      <c r="FN107" s="674"/>
      <c r="FO107" s="674"/>
      <c r="FP107" s="674"/>
      <c r="FQ107" s="674"/>
      <c r="FR107" s="674"/>
      <c r="FS107" s="674"/>
      <c r="FT107" s="674"/>
      <c r="FU107" s="674"/>
      <c r="FV107" s="674"/>
      <c r="FW107" s="674"/>
      <c r="FX107" s="674"/>
      <c r="FY107" s="674"/>
      <c r="FZ107" s="674"/>
      <c r="GA107" s="674"/>
    </row>
    <row r="108" spans="1:183" x14ac:dyDescent="0.25">
      <c r="A108" s="674"/>
      <c r="B108" s="675" t="s">
        <v>3147</v>
      </c>
      <c r="C108" s="675" t="s">
        <v>3148</v>
      </c>
      <c r="D108" s="675" t="s">
        <v>3149</v>
      </c>
      <c r="E108" s="675" t="s">
        <v>3150</v>
      </c>
      <c r="F108" s="675" t="s">
        <v>3151</v>
      </c>
      <c r="G108" s="675" t="s">
        <v>364</v>
      </c>
      <c r="H108" s="675" t="s">
        <v>3152</v>
      </c>
      <c r="I108" s="675" t="s">
        <v>3153</v>
      </c>
      <c r="J108" s="675" t="s">
        <v>3099</v>
      </c>
      <c r="K108" s="675" t="s">
        <v>3154</v>
      </c>
      <c r="L108" s="675" t="s">
        <v>3155</v>
      </c>
      <c r="M108" s="675" t="s">
        <v>3157</v>
      </c>
      <c r="N108" s="675" t="s">
        <v>3156</v>
      </c>
      <c r="O108" s="675" t="s">
        <v>3158</v>
      </c>
      <c r="P108" s="675" t="s">
        <v>3159</v>
      </c>
      <c r="Q108" s="675" t="s">
        <v>3160</v>
      </c>
      <c r="R108" s="675" t="s">
        <v>3120</v>
      </c>
      <c r="S108" s="675" t="s">
        <v>3117</v>
      </c>
      <c r="T108" s="675" t="s">
        <v>3119</v>
      </c>
      <c r="U108" s="675" t="s">
        <v>3161</v>
      </c>
      <c r="V108" s="675" t="s">
        <v>3162</v>
      </c>
      <c r="W108" s="675" t="s">
        <v>3163</v>
      </c>
      <c r="X108" s="675" t="s">
        <v>3164</v>
      </c>
      <c r="Y108" s="675" t="s">
        <v>3165</v>
      </c>
      <c r="Z108" s="675" t="s">
        <v>3166</v>
      </c>
      <c r="AA108" s="675" t="s">
        <v>3167</v>
      </c>
      <c r="AB108" s="675" t="s">
        <v>3147</v>
      </c>
      <c r="AC108" s="675" t="s">
        <v>3148</v>
      </c>
      <c r="AD108" s="675" t="s">
        <v>3149</v>
      </c>
      <c r="AE108" s="675" t="s">
        <v>3150</v>
      </c>
      <c r="AF108" s="675" t="s">
        <v>3151</v>
      </c>
      <c r="AG108" s="675" t="s">
        <v>364</v>
      </c>
      <c r="AH108" s="675" t="s">
        <v>3152</v>
      </c>
      <c r="AI108" s="675" t="s">
        <v>3153</v>
      </c>
      <c r="AJ108" s="675" t="s">
        <v>3099</v>
      </c>
      <c r="AK108" s="675" t="s">
        <v>3154</v>
      </c>
      <c r="AL108" s="675" t="s">
        <v>3155</v>
      </c>
      <c r="AM108" s="675" t="s">
        <v>3157</v>
      </c>
      <c r="AN108" s="675" t="s">
        <v>3156</v>
      </c>
      <c r="AO108" s="675" t="s">
        <v>3158</v>
      </c>
      <c r="AP108" s="675" t="s">
        <v>3159</v>
      </c>
      <c r="AQ108" s="675" t="s">
        <v>3160</v>
      </c>
      <c r="AR108" s="675" t="s">
        <v>3120</v>
      </c>
      <c r="AS108" s="675" t="s">
        <v>3117</v>
      </c>
      <c r="AT108" s="675" t="s">
        <v>3119</v>
      </c>
      <c r="AU108" s="675" t="s">
        <v>3161</v>
      </c>
      <c r="AV108" s="675" t="s">
        <v>3162</v>
      </c>
      <c r="AW108" s="675" t="s">
        <v>3163</v>
      </c>
      <c r="AX108" s="675" t="s">
        <v>3164</v>
      </c>
      <c r="AY108" s="675" t="s">
        <v>3165</v>
      </c>
      <c r="AZ108" s="675" t="s">
        <v>3166</v>
      </c>
      <c r="BA108" s="675" t="s">
        <v>3167</v>
      </c>
      <c r="BB108" s="675" t="s">
        <v>3147</v>
      </c>
      <c r="BC108" s="675" t="s">
        <v>3148</v>
      </c>
      <c r="BD108" s="675" t="s">
        <v>3149</v>
      </c>
      <c r="BE108" s="675" t="s">
        <v>3150</v>
      </c>
      <c r="BF108" s="675" t="s">
        <v>3151</v>
      </c>
      <c r="BG108" s="675" t="s">
        <v>364</v>
      </c>
      <c r="BH108" s="675" t="s">
        <v>3152</v>
      </c>
      <c r="BI108" s="675" t="s">
        <v>3153</v>
      </c>
      <c r="BJ108" s="675" t="s">
        <v>3099</v>
      </c>
      <c r="BK108" s="675" t="s">
        <v>3154</v>
      </c>
      <c r="BL108" s="675" t="s">
        <v>3155</v>
      </c>
      <c r="BM108" s="675" t="s">
        <v>3157</v>
      </c>
      <c r="BN108" s="675" t="s">
        <v>3156</v>
      </c>
      <c r="BO108" s="675" t="s">
        <v>3158</v>
      </c>
      <c r="BP108" s="675" t="s">
        <v>3159</v>
      </c>
      <c r="BQ108" s="675" t="s">
        <v>3160</v>
      </c>
      <c r="BR108" s="675" t="s">
        <v>3120</v>
      </c>
      <c r="BS108" s="675" t="s">
        <v>3117</v>
      </c>
      <c r="BT108" s="675" t="s">
        <v>3119</v>
      </c>
      <c r="BU108" s="675" t="s">
        <v>3161</v>
      </c>
      <c r="BV108" s="675" t="s">
        <v>3162</v>
      </c>
      <c r="BW108" s="675" t="s">
        <v>3163</v>
      </c>
      <c r="BX108" s="675" t="s">
        <v>3164</v>
      </c>
      <c r="BY108" s="675" t="s">
        <v>3165</v>
      </c>
      <c r="BZ108" s="675" t="s">
        <v>3166</v>
      </c>
      <c r="CA108" s="675" t="s">
        <v>3167</v>
      </c>
      <c r="CB108" s="675" t="s">
        <v>3147</v>
      </c>
      <c r="CC108" s="675" t="s">
        <v>3148</v>
      </c>
      <c r="CD108" s="675" t="s">
        <v>3149</v>
      </c>
      <c r="CE108" s="675" t="s">
        <v>3150</v>
      </c>
      <c r="CF108" s="675" t="s">
        <v>3151</v>
      </c>
      <c r="CG108" s="675" t="s">
        <v>364</v>
      </c>
      <c r="CH108" s="675" t="s">
        <v>3152</v>
      </c>
      <c r="CI108" s="675" t="s">
        <v>3153</v>
      </c>
      <c r="CJ108" s="675" t="s">
        <v>3099</v>
      </c>
      <c r="CK108" s="675" t="s">
        <v>3154</v>
      </c>
      <c r="CL108" s="675" t="s">
        <v>3155</v>
      </c>
      <c r="CM108" s="675" t="s">
        <v>3157</v>
      </c>
      <c r="CN108" s="675" t="s">
        <v>3156</v>
      </c>
      <c r="CO108" s="675" t="s">
        <v>3158</v>
      </c>
      <c r="CP108" s="675" t="s">
        <v>3159</v>
      </c>
      <c r="CQ108" s="675" t="s">
        <v>3160</v>
      </c>
      <c r="CR108" s="675" t="s">
        <v>3120</v>
      </c>
      <c r="CS108" s="675" t="s">
        <v>3117</v>
      </c>
      <c r="CT108" s="675" t="s">
        <v>3119</v>
      </c>
      <c r="CU108" s="675" t="s">
        <v>3161</v>
      </c>
      <c r="CV108" s="675" t="s">
        <v>3162</v>
      </c>
      <c r="CW108" s="675" t="s">
        <v>3163</v>
      </c>
      <c r="CX108" s="675" t="s">
        <v>3164</v>
      </c>
      <c r="CY108" s="675" t="s">
        <v>3165</v>
      </c>
      <c r="CZ108" s="675" t="s">
        <v>3166</v>
      </c>
      <c r="DA108" s="675" t="s">
        <v>3167</v>
      </c>
      <c r="DB108" s="675" t="s">
        <v>3147</v>
      </c>
      <c r="DC108" s="675" t="s">
        <v>3148</v>
      </c>
      <c r="DD108" s="675" t="s">
        <v>3149</v>
      </c>
      <c r="DE108" s="675" t="s">
        <v>3150</v>
      </c>
      <c r="DF108" s="675" t="s">
        <v>3151</v>
      </c>
      <c r="DG108" s="675" t="s">
        <v>364</v>
      </c>
      <c r="DH108" s="675" t="s">
        <v>3152</v>
      </c>
      <c r="DI108" s="675" t="s">
        <v>3153</v>
      </c>
      <c r="DJ108" s="675" t="s">
        <v>3099</v>
      </c>
      <c r="DK108" s="675" t="s">
        <v>3154</v>
      </c>
      <c r="DL108" s="675" t="s">
        <v>3155</v>
      </c>
      <c r="DM108" s="675" t="s">
        <v>3157</v>
      </c>
      <c r="DN108" s="675" t="s">
        <v>3156</v>
      </c>
      <c r="DO108" s="675" t="s">
        <v>3158</v>
      </c>
      <c r="DP108" s="675" t="s">
        <v>3159</v>
      </c>
      <c r="DQ108" s="675" t="s">
        <v>3160</v>
      </c>
      <c r="DR108" s="675" t="s">
        <v>3120</v>
      </c>
      <c r="DS108" s="675" t="s">
        <v>3117</v>
      </c>
      <c r="DT108" s="675" t="s">
        <v>3119</v>
      </c>
      <c r="DU108" s="675" t="s">
        <v>3161</v>
      </c>
      <c r="DV108" s="675" t="s">
        <v>3162</v>
      </c>
      <c r="DW108" s="675" t="s">
        <v>3163</v>
      </c>
      <c r="DX108" s="675" t="s">
        <v>3164</v>
      </c>
      <c r="DY108" s="675" t="s">
        <v>3165</v>
      </c>
      <c r="DZ108" s="675" t="s">
        <v>3166</v>
      </c>
      <c r="EA108" s="675" t="s">
        <v>3167</v>
      </c>
      <c r="EB108" s="675" t="s">
        <v>3147</v>
      </c>
      <c r="EC108" s="675" t="s">
        <v>3148</v>
      </c>
      <c r="ED108" s="675" t="s">
        <v>3149</v>
      </c>
      <c r="EE108" s="675" t="s">
        <v>3150</v>
      </c>
      <c r="EF108" s="675" t="s">
        <v>3151</v>
      </c>
      <c r="EG108" s="675" t="s">
        <v>364</v>
      </c>
      <c r="EH108" s="675" t="s">
        <v>3152</v>
      </c>
      <c r="EI108" s="675" t="s">
        <v>3153</v>
      </c>
      <c r="EJ108" s="675" t="s">
        <v>3099</v>
      </c>
      <c r="EK108" s="675" t="s">
        <v>3154</v>
      </c>
      <c r="EL108" s="675" t="s">
        <v>3155</v>
      </c>
      <c r="EM108" s="675" t="s">
        <v>3157</v>
      </c>
      <c r="EN108" s="675" t="s">
        <v>3156</v>
      </c>
      <c r="EO108" s="675" t="s">
        <v>3158</v>
      </c>
      <c r="EP108" s="675" t="s">
        <v>3159</v>
      </c>
      <c r="EQ108" s="675" t="s">
        <v>3160</v>
      </c>
      <c r="ER108" s="675" t="s">
        <v>3120</v>
      </c>
      <c r="ES108" s="675" t="s">
        <v>3117</v>
      </c>
      <c r="ET108" s="675" t="s">
        <v>3119</v>
      </c>
      <c r="EU108" s="675" t="s">
        <v>3161</v>
      </c>
      <c r="EV108" s="675" t="s">
        <v>3162</v>
      </c>
      <c r="EW108" s="675" t="s">
        <v>3163</v>
      </c>
      <c r="EX108" s="675" t="s">
        <v>3164</v>
      </c>
      <c r="EY108" s="675" t="s">
        <v>3165</v>
      </c>
      <c r="EZ108" s="675" t="s">
        <v>3166</v>
      </c>
      <c r="FA108" s="675" t="s">
        <v>3167</v>
      </c>
      <c r="FB108" s="675" t="s">
        <v>3147</v>
      </c>
      <c r="FC108" s="675" t="s">
        <v>3148</v>
      </c>
      <c r="FD108" s="675" t="s">
        <v>3149</v>
      </c>
      <c r="FE108" s="675" t="s">
        <v>3150</v>
      </c>
      <c r="FF108" s="675" t="s">
        <v>3151</v>
      </c>
      <c r="FG108" s="675" t="s">
        <v>364</v>
      </c>
      <c r="FH108" s="675" t="s">
        <v>3152</v>
      </c>
      <c r="FI108" s="675" t="s">
        <v>3153</v>
      </c>
      <c r="FJ108" s="675" t="s">
        <v>3099</v>
      </c>
      <c r="FK108" s="675" t="s">
        <v>3154</v>
      </c>
      <c r="FL108" s="675" t="s">
        <v>3155</v>
      </c>
      <c r="FM108" s="675" t="s">
        <v>3157</v>
      </c>
      <c r="FN108" s="675" t="s">
        <v>3156</v>
      </c>
      <c r="FO108" s="675" t="s">
        <v>3158</v>
      </c>
      <c r="FP108" s="675" t="s">
        <v>3159</v>
      </c>
      <c r="FQ108" s="675" t="s">
        <v>3160</v>
      </c>
      <c r="FR108" s="675" t="s">
        <v>3120</v>
      </c>
      <c r="FS108" s="675" t="s">
        <v>3117</v>
      </c>
      <c r="FT108" s="675" t="s">
        <v>3119</v>
      </c>
      <c r="FU108" s="675" t="s">
        <v>3161</v>
      </c>
      <c r="FV108" s="675" t="s">
        <v>3162</v>
      </c>
      <c r="FW108" s="675" t="s">
        <v>3163</v>
      </c>
      <c r="FX108" s="675" t="s">
        <v>3164</v>
      </c>
      <c r="FY108" s="675" t="s">
        <v>3165</v>
      </c>
      <c r="FZ108" s="675" t="s">
        <v>3166</v>
      </c>
      <c r="GA108" s="675" t="s">
        <v>3167</v>
      </c>
    </row>
    <row r="109" spans="1:183" ht="15.6" x14ac:dyDescent="0.3">
      <c r="A109" s="676" t="s">
        <v>412</v>
      </c>
    </row>
    <row r="110" spans="1:183" ht="15.6" x14ac:dyDescent="0.3">
      <c r="A110" s="676" t="s">
        <v>2986</v>
      </c>
    </row>
    <row r="111" spans="1:183" ht="15.6" x14ac:dyDescent="0.3">
      <c r="A111" s="676" t="s">
        <v>2987</v>
      </c>
    </row>
    <row r="112" spans="1:183" ht="15.6" x14ac:dyDescent="0.3">
      <c r="A112" s="676" t="s">
        <v>2988</v>
      </c>
    </row>
    <row r="113" spans="1:1" ht="15.6" x14ac:dyDescent="0.3">
      <c r="A113" s="676" t="s">
        <v>2989</v>
      </c>
    </row>
    <row r="114" spans="1:1" ht="15.6" x14ac:dyDescent="0.3">
      <c r="A114" s="676" t="s">
        <v>2990</v>
      </c>
    </row>
    <row r="115" spans="1:1" ht="15.6" x14ac:dyDescent="0.3">
      <c r="A115" s="676" t="s">
        <v>2991</v>
      </c>
    </row>
    <row r="116" spans="1:1" ht="15.6" x14ac:dyDescent="0.3">
      <c r="A116" s="676" t="s">
        <v>2992</v>
      </c>
    </row>
    <row r="117" spans="1:1" ht="15.6" x14ac:dyDescent="0.3">
      <c r="A117" s="676" t="s">
        <v>2993</v>
      </c>
    </row>
    <row r="118" spans="1:1" ht="15.6" x14ac:dyDescent="0.3">
      <c r="A118" s="676" t="s">
        <v>2994</v>
      </c>
    </row>
    <row r="119" spans="1:1" ht="15.6" x14ac:dyDescent="0.3">
      <c r="A119" s="676" t="s">
        <v>2995</v>
      </c>
    </row>
    <row r="120" spans="1:1" ht="15.6" x14ac:dyDescent="0.3">
      <c r="A120" s="676" t="s">
        <v>2996</v>
      </c>
    </row>
    <row r="121" spans="1:1" ht="15.6" x14ac:dyDescent="0.3">
      <c r="A121" s="676" t="s">
        <v>2997</v>
      </c>
    </row>
    <row r="122" spans="1:1" ht="15.6" x14ac:dyDescent="0.3">
      <c r="A122" s="676" t="s">
        <v>2998</v>
      </c>
    </row>
    <row r="123" spans="1:1" ht="15.6" x14ac:dyDescent="0.3">
      <c r="A123" s="676" t="s">
        <v>2999</v>
      </c>
    </row>
    <row r="124" spans="1:1" ht="15.6" x14ac:dyDescent="0.3">
      <c r="A124" s="676" t="s">
        <v>3000</v>
      </c>
    </row>
    <row r="125" spans="1:1" ht="15.6" x14ac:dyDescent="0.3">
      <c r="A125" s="676" t="s">
        <v>3001</v>
      </c>
    </row>
    <row r="126" spans="1:1" ht="15.6" x14ac:dyDescent="0.3">
      <c r="A126" s="676" t="s">
        <v>3002</v>
      </c>
    </row>
    <row r="127" spans="1:1" ht="15.6" x14ac:dyDescent="0.3">
      <c r="A127" s="676" t="s">
        <v>3003</v>
      </c>
    </row>
    <row r="128" spans="1:1" ht="15.6" x14ac:dyDescent="0.3">
      <c r="A128" s="676" t="s">
        <v>3004</v>
      </c>
    </row>
    <row r="129" spans="1:1" ht="15.6" x14ac:dyDescent="0.3">
      <c r="A129" s="676" t="s">
        <v>3005</v>
      </c>
    </row>
    <row r="130" spans="1:1" ht="15.6" x14ac:dyDescent="0.3">
      <c r="A130" s="676" t="s">
        <v>3006</v>
      </c>
    </row>
    <row r="131" spans="1:1" ht="15.6" x14ac:dyDescent="0.3">
      <c r="A131" s="676" t="s">
        <v>3007</v>
      </c>
    </row>
    <row r="132" spans="1:1" ht="15.6" x14ac:dyDescent="0.3">
      <c r="A132" s="676" t="s">
        <v>3008</v>
      </c>
    </row>
    <row r="133" spans="1:1" ht="15.6" x14ac:dyDescent="0.3">
      <c r="A133" s="676" t="s">
        <v>3009</v>
      </c>
    </row>
    <row r="134" spans="1:1" ht="15.6" x14ac:dyDescent="0.3">
      <c r="A134" s="676" t="s">
        <v>3010</v>
      </c>
    </row>
    <row r="135" spans="1:1" ht="15.6" x14ac:dyDescent="0.3">
      <c r="A135" s="676" t="s">
        <v>3011</v>
      </c>
    </row>
    <row r="136" spans="1:1" ht="15.6" x14ac:dyDescent="0.3">
      <c r="A136" s="676" t="s">
        <v>3012</v>
      </c>
    </row>
    <row r="137" spans="1:1" ht="15.6" x14ac:dyDescent="0.3">
      <c r="A137" s="676" t="s">
        <v>3013</v>
      </c>
    </row>
    <row r="138" spans="1:1" ht="15.6" x14ac:dyDescent="0.3">
      <c r="A138" s="676" t="s">
        <v>3014</v>
      </c>
    </row>
    <row r="139" spans="1:1" ht="15.6" x14ac:dyDescent="0.3">
      <c r="A139" s="676" t="s">
        <v>3015</v>
      </c>
    </row>
    <row r="140" spans="1:1" ht="15.6" x14ac:dyDescent="0.3">
      <c r="A140" s="676" t="s">
        <v>3016</v>
      </c>
    </row>
    <row r="141" spans="1:1" ht="15.6" x14ac:dyDescent="0.3">
      <c r="A141" s="676" t="s">
        <v>3017</v>
      </c>
    </row>
    <row r="142" spans="1:1" ht="15.6" x14ac:dyDescent="0.3">
      <c r="A142" s="676" t="s">
        <v>3018</v>
      </c>
    </row>
    <row r="143" spans="1:1" ht="15.6" x14ac:dyDescent="0.3">
      <c r="A143" s="676" t="s">
        <v>3019</v>
      </c>
    </row>
    <row r="144" spans="1:1" ht="15.6" x14ac:dyDescent="0.3">
      <c r="A144" s="676" t="s">
        <v>3020</v>
      </c>
    </row>
    <row r="145" spans="1:1" ht="15.6" x14ac:dyDescent="0.3">
      <c r="A145" s="676" t="s">
        <v>3021</v>
      </c>
    </row>
    <row r="146" spans="1:1" ht="15.6" x14ac:dyDescent="0.3">
      <c r="A146" s="676" t="s">
        <v>3022</v>
      </c>
    </row>
    <row r="147" spans="1:1" ht="15.6" x14ac:dyDescent="0.3">
      <c r="A147" s="676" t="s">
        <v>3023</v>
      </c>
    </row>
    <row r="148" spans="1:1" ht="15.6" x14ac:dyDescent="0.3">
      <c r="A148" s="676" t="s">
        <v>3024</v>
      </c>
    </row>
    <row r="149" spans="1:1" ht="15.6" x14ac:dyDescent="0.3">
      <c r="A149" s="676" t="s">
        <v>3025</v>
      </c>
    </row>
    <row r="150" spans="1:1" ht="15.6" x14ac:dyDescent="0.3">
      <c r="A150" s="676" t="s">
        <v>3026</v>
      </c>
    </row>
    <row r="151" spans="1:1" ht="15.6" x14ac:dyDescent="0.3">
      <c r="A151" s="676" t="s">
        <v>3027</v>
      </c>
    </row>
    <row r="152" spans="1:1" ht="15.6" x14ac:dyDescent="0.3">
      <c r="A152" s="676" t="s">
        <v>3028</v>
      </c>
    </row>
    <row r="153" spans="1:1" ht="15.6" x14ac:dyDescent="0.3">
      <c r="A153" s="676" t="s">
        <v>3029</v>
      </c>
    </row>
    <row r="154" spans="1:1" ht="15.6" x14ac:dyDescent="0.3">
      <c r="A154" s="676" t="s">
        <v>3030</v>
      </c>
    </row>
    <row r="155" spans="1:1" ht="15.6" x14ac:dyDescent="0.3">
      <c r="A155" s="676" t="s">
        <v>3031</v>
      </c>
    </row>
    <row r="156" spans="1:1" ht="15.6" x14ac:dyDescent="0.3">
      <c r="A156" s="676" t="s">
        <v>3032</v>
      </c>
    </row>
    <row r="157" spans="1:1" ht="15.6" x14ac:dyDescent="0.3">
      <c r="A157" s="676" t="s">
        <v>3033</v>
      </c>
    </row>
    <row r="158" spans="1:1" ht="15.6" x14ac:dyDescent="0.3">
      <c r="A158" s="676" t="s">
        <v>3034</v>
      </c>
    </row>
    <row r="159" spans="1:1" ht="15.6" x14ac:dyDescent="0.3">
      <c r="A159" s="676" t="s">
        <v>3035</v>
      </c>
    </row>
    <row r="160" spans="1:1" ht="15.6" x14ac:dyDescent="0.3">
      <c r="A160" s="676" t="s">
        <v>3036</v>
      </c>
    </row>
    <row r="161" spans="1:1" ht="15.6" x14ac:dyDescent="0.3">
      <c r="A161" s="676" t="s">
        <v>3037</v>
      </c>
    </row>
    <row r="162" spans="1:1" ht="15.6" x14ac:dyDescent="0.3">
      <c r="A162" s="676" t="s">
        <v>3038</v>
      </c>
    </row>
    <row r="163" spans="1:1" ht="15.6" x14ac:dyDescent="0.3">
      <c r="A163" s="676" t="s">
        <v>3039</v>
      </c>
    </row>
    <row r="164" spans="1:1" ht="15.6" x14ac:dyDescent="0.3">
      <c r="A164" s="676" t="s">
        <v>3040</v>
      </c>
    </row>
    <row r="165" spans="1:1" ht="15.6" x14ac:dyDescent="0.3">
      <c r="A165" s="676" t="s">
        <v>3041</v>
      </c>
    </row>
    <row r="166" spans="1:1" ht="15.6" x14ac:dyDescent="0.3">
      <c r="A166" s="676" t="s">
        <v>3042</v>
      </c>
    </row>
    <row r="167" spans="1:1" ht="15.6" x14ac:dyDescent="0.3">
      <c r="A167" s="676" t="s">
        <v>3043</v>
      </c>
    </row>
    <row r="168" spans="1:1" ht="15.6" x14ac:dyDescent="0.3">
      <c r="A168" s="676" t="s">
        <v>3044</v>
      </c>
    </row>
    <row r="169" spans="1:1" ht="15.6" x14ac:dyDescent="0.3">
      <c r="A169" s="676" t="s">
        <v>3045</v>
      </c>
    </row>
    <row r="170" spans="1:1" ht="15.6" x14ac:dyDescent="0.3">
      <c r="A170" s="676" t="s">
        <v>3046</v>
      </c>
    </row>
    <row r="171" spans="1:1" ht="15.6" x14ac:dyDescent="0.3">
      <c r="A171" s="676" t="s">
        <v>3047</v>
      </c>
    </row>
    <row r="172" spans="1:1" ht="15.6" x14ac:dyDescent="0.3">
      <c r="A172" s="676" t="s">
        <v>3048</v>
      </c>
    </row>
    <row r="173" spans="1:1" ht="15.6" x14ac:dyDescent="0.3">
      <c r="A173" s="676" t="s">
        <v>3049</v>
      </c>
    </row>
    <row r="174" spans="1:1" ht="15.6" x14ac:dyDescent="0.3">
      <c r="A174" s="676" t="s">
        <v>3050</v>
      </c>
    </row>
    <row r="175" spans="1:1" ht="15.6" x14ac:dyDescent="0.3">
      <c r="A175" s="676" t="s">
        <v>3051</v>
      </c>
    </row>
    <row r="176" spans="1:1" ht="15.6" x14ac:dyDescent="0.3">
      <c r="A176" s="676" t="s">
        <v>3052</v>
      </c>
    </row>
    <row r="177" spans="1:1" ht="15.6" x14ac:dyDescent="0.3">
      <c r="A177" s="676" t="s">
        <v>3053</v>
      </c>
    </row>
    <row r="178" spans="1:1" ht="15.6" x14ac:dyDescent="0.3">
      <c r="A178" s="676" t="s">
        <v>3054</v>
      </c>
    </row>
    <row r="179" spans="1:1" ht="15.6" x14ac:dyDescent="0.3">
      <c r="A179" s="676" t="s">
        <v>3055</v>
      </c>
    </row>
    <row r="180" spans="1:1" ht="15.6" x14ac:dyDescent="0.3">
      <c r="A180" s="676" t="s">
        <v>3056</v>
      </c>
    </row>
    <row r="181" spans="1:1" ht="15.6" x14ac:dyDescent="0.3">
      <c r="A181" s="676" t="s">
        <v>3057</v>
      </c>
    </row>
    <row r="182" spans="1:1" ht="15.6" x14ac:dyDescent="0.3">
      <c r="A182" s="676" t="s">
        <v>3058</v>
      </c>
    </row>
    <row r="183" spans="1:1" ht="15.6" x14ac:dyDescent="0.3">
      <c r="A183" s="676" t="s">
        <v>3059</v>
      </c>
    </row>
    <row r="184" spans="1:1" ht="15.6" x14ac:dyDescent="0.3">
      <c r="A184" s="676" t="s">
        <v>3060</v>
      </c>
    </row>
    <row r="185" spans="1:1" ht="15.6" x14ac:dyDescent="0.3">
      <c r="A185" s="676" t="s">
        <v>3061</v>
      </c>
    </row>
    <row r="186" spans="1:1" ht="15.6" x14ac:dyDescent="0.3">
      <c r="A186" s="676" t="s">
        <v>3062</v>
      </c>
    </row>
    <row r="187" spans="1:1" ht="15.6" x14ac:dyDescent="0.3">
      <c r="A187" s="676" t="s">
        <v>3063</v>
      </c>
    </row>
    <row r="188" spans="1:1" ht="15.6" x14ac:dyDescent="0.3">
      <c r="A188" s="676" t="s">
        <v>3064</v>
      </c>
    </row>
    <row r="189" spans="1:1" ht="15.6" x14ac:dyDescent="0.3">
      <c r="A189" s="676" t="s">
        <v>3065</v>
      </c>
    </row>
    <row r="190" spans="1:1" ht="15.6" x14ac:dyDescent="0.3">
      <c r="A190" s="676" t="s">
        <v>3066</v>
      </c>
    </row>
    <row r="191" spans="1:1" ht="15.6" x14ac:dyDescent="0.3">
      <c r="A191" s="676" t="s">
        <v>3067</v>
      </c>
    </row>
    <row r="192" spans="1:1" ht="15.6" x14ac:dyDescent="0.3">
      <c r="A192" s="676" t="s">
        <v>3068</v>
      </c>
    </row>
    <row r="193" spans="1:183" ht="15.6" x14ac:dyDescent="0.3">
      <c r="A193" s="676" t="s">
        <v>3069</v>
      </c>
    </row>
    <row r="194" spans="1:183" ht="15.6" x14ac:dyDescent="0.3">
      <c r="A194" s="676" t="s">
        <v>3070</v>
      </c>
    </row>
    <row r="195" spans="1:183" ht="15.6" x14ac:dyDescent="0.3">
      <c r="A195" s="676" t="s">
        <v>3071</v>
      </c>
    </row>
    <row r="196" spans="1:183" ht="15.6" x14ac:dyDescent="0.3">
      <c r="A196" s="676" t="s">
        <v>3072</v>
      </c>
    </row>
    <row r="197" spans="1:183" ht="15.6" x14ac:dyDescent="0.3">
      <c r="A197" s="676" t="s">
        <v>3073</v>
      </c>
    </row>
    <row r="198" spans="1:183" ht="15.6" x14ac:dyDescent="0.3">
      <c r="A198" s="676" t="s">
        <v>3074</v>
      </c>
    </row>
    <row r="199" spans="1:183" ht="15.6" x14ac:dyDescent="0.3">
      <c r="A199" s="676" t="s">
        <v>3075</v>
      </c>
    </row>
    <row r="200" spans="1:183" ht="15.6" x14ac:dyDescent="0.3">
      <c r="A200" s="676" t="s">
        <v>3076</v>
      </c>
    </row>
    <row r="201" spans="1:183" ht="15.6" x14ac:dyDescent="0.3">
      <c r="A201" s="676" t="s">
        <v>3077</v>
      </c>
    </row>
    <row r="202" spans="1:183" ht="15.6" x14ac:dyDescent="0.3">
      <c r="A202" s="676" t="s">
        <v>3078</v>
      </c>
    </row>
    <row r="206" spans="1:183" x14ac:dyDescent="0.25">
      <c r="B206" s="880">
        <v>2014</v>
      </c>
      <c r="C206" s="880"/>
      <c r="D206" s="880"/>
      <c r="E206" s="880"/>
      <c r="F206" s="880"/>
      <c r="G206" s="880"/>
      <c r="H206" s="880"/>
      <c r="I206" s="880"/>
      <c r="J206" s="880"/>
      <c r="K206" s="880"/>
      <c r="L206" s="880"/>
      <c r="M206" s="880"/>
      <c r="N206" s="880"/>
      <c r="O206" s="880"/>
      <c r="P206" s="880"/>
      <c r="Q206" s="880"/>
      <c r="R206" s="880"/>
      <c r="S206" s="880"/>
      <c r="T206" s="880"/>
      <c r="U206" s="880"/>
      <c r="V206" s="880"/>
      <c r="W206" s="880"/>
      <c r="X206" s="880"/>
      <c r="Y206" s="880"/>
      <c r="Z206" s="880"/>
      <c r="AA206" s="880"/>
      <c r="AB206" s="880">
        <v>2015</v>
      </c>
      <c r="AC206" s="880"/>
      <c r="AD206" s="880"/>
      <c r="AE206" s="880"/>
      <c r="AF206" s="880"/>
      <c r="AG206" s="880"/>
      <c r="AH206" s="880"/>
      <c r="AI206" s="880"/>
      <c r="AJ206" s="880"/>
      <c r="AK206" s="880"/>
      <c r="AL206" s="880"/>
      <c r="AM206" s="880"/>
      <c r="AN206" s="880"/>
      <c r="AO206" s="880"/>
      <c r="AP206" s="880"/>
      <c r="AQ206" s="880"/>
      <c r="AR206" s="880"/>
      <c r="AS206" s="880"/>
      <c r="AT206" s="880"/>
      <c r="AU206" s="880"/>
      <c r="AV206" s="880"/>
      <c r="AW206" s="880"/>
      <c r="AX206" s="880"/>
      <c r="AY206" s="880"/>
      <c r="AZ206" s="880"/>
      <c r="BA206" s="880"/>
      <c r="BB206" s="880">
        <v>2016</v>
      </c>
      <c r="BC206" s="880"/>
      <c r="BD206" s="880"/>
      <c r="BE206" s="880"/>
      <c r="BF206" s="880"/>
      <c r="BG206" s="880"/>
      <c r="BH206" s="880"/>
      <c r="BI206" s="880"/>
      <c r="BJ206" s="880"/>
      <c r="BK206" s="880"/>
      <c r="BL206" s="880"/>
      <c r="BM206" s="880"/>
      <c r="BN206" s="880"/>
      <c r="BO206" s="880"/>
      <c r="BP206" s="880"/>
      <c r="BQ206" s="880"/>
      <c r="BR206" s="880"/>
      <c r="BS206" s="880"/>
      <c r="BT206" s="880"/>
      <c r="BU206" s="880"/>
      <c r="BV206" s="880"/>
      <c r="BW206" s="880"/>
      <c r="BX206" s="880"/>
      <c r="BY206" s="880"/>
      <c r="BZ206" s="880"/>
      <c r="CA206" s="880"/>
      <c r="CB206" s="880">
        <v>2017</v>
      </c>
      <c r="CC206" s="880"/>
      <c r="CD206" s="880"/>
      <c r="CE206" s="880"/>
      <c r="CF206" s="880"/>
      <c r="CG206" s="880"/>
      <c r="CH206" s="880"/>
      <c r="CI206" s="880"/>
      <c r="CJ206" s="880"/>
      <c r="CK206" s="880"/>
      <c r="CL206" s="880"/>
      <c r="CM206" s="880"/>
      <c r="CN206" s="880"/>
      <c r="CO206" s="880"/>
      <c r="CP206" s="880"/>
      <c r="CQ206" s="880"/>
      <c r="CR206" s="880"/>
      <c r="CS206" s="880"/>
      <c r="CT206" s="880"/>
      <c r="CU206" s="880"/>
      <c r="CV206" s="880"/>
      <c r="CW206" s="880"/>
      <c r="CX206" s="880"/>
      <c r="CY206" s="880"/>
      <c r="CZ206" s="880"/>
      <c r="DA206" s="880"/>
      <c r="DB206" s="880">
        <v>2018</v>
      </c>
      <c r="DC206" s="880"/>
      <c r="DD206" s="880"/>
      <c r="DE206" s="880"/>
      <c r="DF206" s="880"/>
      <c r="DG206" s="880"/>
      <c r="DH206" s="880"/>
      <c r="DI206" s="880"/>
      <c r="DJ206" s="880"/>
      <c r="DK206" s="880"/>
      <c r="DL206" s="880"/>
      <c r="DM206" s="880"/>
      <c r="DN206" s="880"/>
      <c r="DO206" s="880"/>
      <c r="DP206" s="880"/>
      <c r="DQ206" s="880"/>
      <c r="DR206" s="880"/>
      <c r="DS206" s="880"/>
      <c r="DT206" s="880"/>
      <c r="DU206" s="880"/>
      <c r="DV206" s="880"/>
      <c r="DW206" s="880"/>
      <c r="DX206" s="880"/>
      <c r="DY206" s="880"/>
      <c r="DZ206" s="880"/>
      <c r="EA206" s="880"/>
      <c r="EB206" s="880">
        <v>2019</v>
      </c>
      <c r="EC206" s="880"/>
      <c r="ED206" s="880"/>
      <c r="EE206" s="880"/>
      <c r="EF206" s="880"/>
      <c r="EG206" s="880"/>
      <c r="EH206" s="880"/>
      <c r="EI206" s="880"/>
      <c r="EJ206" s="880"/>
      <c r="EK206" s="880"/>
      <c r="EL206" s="880"/>
      <c r="EM206" s="880"/>
      <c r="EN206" s="880"/>
      <c r="EO206" s="880"/>
      <c r="EP206" s="880"/>
      <c r="EQ206" s="880"/>
      <c r="ER206" s="880"/>
      <c r="ES206" s="880"/>
      <c r="ET206" s="880"/>
      <c r="EU206" s="880"/>
      <c r="EV206" s="880"/>
      <c r="EW206" s="880"/>
      <c r="EX206" s="880"/>
      <c r="EY206" s="880"/>
      <c r="EZ206" s="880"/>
      <c r="FA206" s="880"/>
      <c r="FB206" s="880">
        <v>2020</v>
      </c>
      <c r="FC206" s="880"/>
      <c r="FD206" s="880"/>
      <c r="FE206" s="880"/>
      <c r="FF206" s="880"/>
      <c r="FG206" s="880"/>
      <c r="FH206" s="880"/>
      <c r="FI206" s="880"/>
      <c r="FJ206" s="880"/>
      <c r="FK206" s="880"/>
      <c r="FL206" s="880"/>
      <c r="FM206" s="880"/>
      <c r="FN206" s="880"/>
      <c r="FO206" s="880"/>
      <c r="FP206" s="880"/>
      <c r="FQ206" s="880"/>
      <c r="FR206" s="880"/>
      <c r="FS206" s="880"/>
      <c r="FT206" s="880"/>
      <c r="FU206" s="880"/>
      <c r="FV206" s="880"/>
      <c r="FW206" s="880"/>
      <c r="FX206" s="880"/>
      <c r="FY206" s="880"/>
      <c r="FZ206" s="880"/>
      <c r="GA206" s="880"/>
    </row>
    <row r="207" spans="1:183" ht="15.6" x14ac:dyDescent="0.25">
      <c r="A207" s="677" t="s">
        <v>3172</v>
      </c>
      <c r="B207" s="879" t="s">
        <v>3146</v>
      </c>
      <c r="C207" s="879"/>
      <c r="D207" s="879"/>
      <c r="E207" s="674"/>
      <c r="F207" s="674"/>
      <c r="G207" s="674"/>
      <c r="H207" s="674"/>
      <c r="I207" s="674"/>
      <c r="J207" s="674"/>
      <c r="K207" s="674"/>
      <c r="L207" s="674"/>
      <c r="M207" s="674"/>
      <c r="N207" s="674"/>
      <c r="O207" s="674"/>
      <c r="P207" s="674"/>
      <c r="Q207" s="674"/>
      <c r="R207" s="674"/>
      <c r="S207" s="674"/>
      <c r="T207" s="674"/>
      <c r="U207" s="674"/>
      <c r="V207" s="674"/>
      <c r="W207" s="674"/>
      <c r="X207" s="674"/>
      <c r="Y207" s="674"/>
      <c r="Z207" s="674"/>
      <c r="AA207" s="674"/>
      <c r="AB207" s="879" t="s">
        <v>3146</v>
      </c>
      <c r="AC207" s="879"/>
      <c r="AD207" s="879"/>
      <c r="AE207" s="674"/>
      <c r="AF207" s="674"/>
      <c r="AG207" s="674"/>
      <c r="AH207" s="674"/>
      <c r="AI207" s="674"/>
      <c r="AJ207" s="674"/>
      <c r="AK207" s="674"/>
      <c r="AL207" s="674"/>
      <c r="AM207" s="674"/>
      <c r="AN207" s="674"/>
      <c r="AO207" s="674"/>
      <c r="AP207" s="674"/>
      <c r="AQ207" s="674"/>
      <c r="AR207" s="674"/>
      <c r="AS207" s="674"/>
      <c r="AT207" s="674"/>
      <c r="AU207" s="674"/>
      <c r="AV207" s="674"/>
      <c r="AW207" s="674"/>
      <c r="AX207" s="674"/>
      <c r="AY207" s="674"/>
      <c r="AZ207" s="674"/>
      <c r="BA207" s="674"/>
      <c r="BB207" s="879" t="s">
        <v>3146</v>
      </c>
      <c r="BC207" s="879"/>
      <c r="BD207" s="879"/>
      <c r="BE207" s="674"/>
      <c r="BF207" s="674"/>
      <c r="BG207" s="674"/>
      <c r="BH207" s="674"/>
      <c r="BI207" s="674"/>
      <c r="BJ207" s="674"/>
      <c r="BK207" s="674"/>
      <c r="BL207" s="674"/>
      <c r="BM207" s="674"/>
      <c r="BN207" s="674"/>
      <c r="BO207" s="674"/>
      <c r="BP207" s="674"/>
      <c r="BQ207" s="674"/>
      <c r="BR207" s="674"/>
      <c r="BS207" s="674"/>
      <c r="BT207" s="674"/>
      <c r="BU207" s="674"/>
      <c r="BV207" s="674"/>
      <c r="BW207" s="674"/>
      <c r="BX207" s="674"/>
      <c r="BY207" s="674"/>
      <c r="BZ207" s="674"/>
      <c r="CA207" s="674"/>
      <c r="CB207" s="879" t="s">
        <v>3146</v>
      </c>
      <c r="CC207" s="879"/>
      <c r="CD207" s="879"/>
      <c r="CE207" s="674"/>
      <c r="CF207" s="674"/>
      <c r="CG207" s="674"/>
      <c r="CH207" s="674"/>
      <c r="CI207" s="674"/>
      <c r="CJ207" s="674"/>
      <c r="CK207" s="674"/>
      <c r="CL207" s="674"/>
      <c r="CM207" s="674"/>
      <c r="CN207" s="674"/>
      <c r="CO207" s="674"/>
      <c r="CP207" s="674"/>
      <c r="CQ207" s="674"/>
      <c r="CR207" s="674"/>
      <c r="CS207" s="674"/>
      <c r="CT207" s="674"/>
      <c r="CU207" s="674"/>
      <c r="CV207" s="674"/>
      <c r="CW207" s="674"/>
      <c r="CX207" s="674"/>
      <c r="CY207" s="674"/>
      <c r="CZ207" s="674"/>
      <c r="DA207" s="674"/>
      <c r="DB207" s="879" t="s">
        <v>3146</v>
      </c>
      <c r="DC207" s="879"/>
      <c r="DD207" s="879"/>
      <c r="DE207" s="674"/>
      <c r="DF207" s="674"/>
      <c r="DG207" s="674"/>
      <c r="DH207" s="674"/>
      <c r="DI207" s="674"/>
      <c r="DJ207" s="674"/>
      <c r="DK207" s="674"/>
      <c r="DL207" s="674"/>
      <c r="DM207" s="674"/>
      <c r="DN207" s="674"/>
      <c r="DO207" s="674"/>
      <c r="DP207" s="674"/>
      <c r="DQ207" s="674"/>
      <c r="DR207" s="674"/>
      <c r="DS207" s="674"/>
      <c r="DT207" s="674"/>
      <c r="DU207" s="674"/>
      <c r="DV207" s="674"/>
      <c r="DW207" s="674"/>
      <c r="DX207" s="674"/>
      <c r="DY207" s="674"/>
      <c r="DZ207" s="674"/>
      <c r="EA207" s="674"/>
      <c r="EB207" s="879" t="s">
        <v>3146</v>
      </c>
      <c r="EC207" s="879"/>
      <c r="ED207" s="879"/>
      <c r="EE207" s="674"/>
      <c r="EF207" s="674"/>
      <c r="EG207" s="674"/>
      <c r="EH207" s="674"/>
      <c r="EI207" s="674"/>
      <c r="EJ207" s="674"/>
      <c r="EK207" s="674"/>
      <c r="EL207" s="674"/>
      <c r="EM207" s="674"/>
      <c r="EN207" s="674"/>
      <c r="EO207" s="674"/>
      <c r="EP207" s="674"/>
      <c r="EQ207" s="674"/>
      <c r="ER207" s="674"/>
      <c r="ES207" s="674"/>
      <c r="ET207" s="674"/>
      <c r="EU207" s="674"/>
      <c r="EV207" s="674"/>
      <c r="EW207" s="674"/>
      <c r="EX207" s="674"/>
      <c r="EY207" s="674"/>
      <c r="EZ207" s="674"/>
      <c r="FA207" s="674"/>
      <c r="FB207" s="879" t="s">
        <v>3146</v>
      </c>
      <c r="FC207" s="879"/>
      <c r="FD207" s="879"/>
      <c r="FE207" s="674"/>
      <c r="FF207" s="674"/>
      <c r="FG207" s="674"/>
      <c r="FH207" s="674"/>
      <c r="FI207" s="674"/>
      <c r="FJ207" s="674"/>
      <c r="FK207" s="674"/>
      <c r="FL207" s="674"/>
      <c r="FM207" s="674"/>
      <c r="FN207" s="674"/>
      <c r="FO207" s="674"/>
      <c r="FP207" s="674"/>
      <c r="FQ207" s="674"/>
      <c r="FR207" s="674"/>
      <c r="FS207" s="674"/>
      <c r="FT207" s="674"/>
      <c r="FU207" s="674"/>
      <c r="FV207" s="674"/>
      <c r="FW207" s="674"/>
      <c r="FX207" s="674"/>
      <c r="FY207" s="674"/>
      <c r="FZ207" s="674"/>
      <c r="GA207" s="674"/>
    </row>
    <row r="208" spans="1:183" x14ac:dyDescent="0.25">
      <c r="A208" s="674"/>
      <c r="B208" s="675" t="s">
        <v>3147</v>
      </c>
      <c r="C208" s="675" t="s">
        <v>3148</v>
      </c>
      <c r="D208" s="675" t="s">
        <v>3149</v>
      </c>
      <c r="E208" s="675" t="s">
        <v>3150</v>
      </c>
      <c r="F208" s="675" t="s">
        <v>3151</v>
      </c>
      <c r="G208" s="675" t="s">
        <v>364</v>
      </c>
      <c r="H208" s="675" t="s">
        <v>3152</v>
      </c>
      <c r="I208" s="675" t="s">
        <v>3153</v>
      </c>
      <c r="J208" s="675" t="s">
        <v>3099</v>
      </c>
      <c r="K208" s="675" t="s">
        <v>3154</v>
      </c>
      <c r="L208" s="675" t="s">
        <v>3155</v>
      </c>
      <c r="M208" s="675" t="s">
        <v>3157</v>
      </c>
      <c r="N208" s="675" t="s">
        <v>3156</v>
      </c>
      <c r="O208" s="675" t="s">
        <v>3158</v>
      </c>
      <c r="P208" s="675" t="s">
        <v>3159</v>
      </c>
      <c r="Q208" s="675" t="s">
        <v>3160</v>
      </c>
      <c r="R208" s="675" t="s">
        <v>3120</v>
      </c>
      <c r="S208" s="675" t="s">
        <v>3117</v>
      </c>
      <c r="T208" s="675" t="s">
        <v>3119</v>
      </c>
      <c r="U208" s="675" t="s">
        <v>3161</v>
      </c>
      <c r="V208" s="675" t="s">
        <v>3162</v>
      </c>
      <c r="W208" s="675" t="s">
        <v>3163</v>
      </c>
      <c r="X208" s="675" t="s">
        <v>3164</v>
      </c>
      <c r="Y208" s="675" t="s">
        <v>3165</v>
      </c>
      <c r="Z208" s="675" t="s">
        <v>3166</v>
      </c>
      <c r="AA208" s="675" t="s">
        <v>3167</v>
      </c>
      <c r="AB208" s="675" t="s">
        <v>3147</v>
      </c>
      <c r="AC208" s="675" t="s">
        <v>3148</v>
      </c>
      <c r="AD208" s="675" t="s">
        <v>3149</v>
      </c>
      <c r="AE208" s="675" t="s">
        <v>3150</v>
      </c>
      <c r="AF208" s="675" t="s">
        <v>3151</v>
      </c>
      <c r="AG208" s="675" t="s">
        <v>364</v>
      </c>
      <c r="AH208" s="675" t="s">
        <v>3152</v>
      </c>
      <c r="AI208" s="675" t="s">
        <v>3153</v>
      </c>
      <c r="AJ208" s="675" t="s">
        <v>3099</v>
      </c>
      <c r="AK208" s="675" t="s">
        <v>3154</v>
      </c>
      <c r="AL208" s="675" t="s">
        <v>3155</v>
      </c>
      <c r="AM208" s="675" t="s">
        <v>3157</v>
      </c>
      <c r="AN208" s="675" t="s">
        <v>3156</v>
      </c>
      <c r="AO208" s="675" t="s">
        <v>3158</v>
      </c>
      <c r="AP208" s="675" t="s">
        <v>3159</v>
      </c>
      <c r="AQ208" s="675" t="s">
        <v>3160</v>
      </c>
      <c r="AR208" s="675" t="s">
        <v>3120</v>
      </c>
      <c r="AS208" s="675" t="s">
        <v>3117</v>
      </c>
      <c r="AT208" s="675" t="s">
        <v>3119</v>
      </c>
      <c r="AU208" s="675" t="s">
        <v>3161</v>
      </c>
      <c r="AV208" s="675" t="s">
        <v>3162</v>
      </c>
      <c r="AW208" s="675" t="s">
        <v>3163</v>
      </c>
      <c r="AX208" s="675" t="s">
        <v>3164</v>
      </c>
      <c r="AY208" s="675" t="s">
        <v>3165</v>
      </c>
      <c r="AZ208" s="675" t="s">
        <v>3166</v>
      </c>
      <c r="BA208" s="675" t="s">
        <v>3167</v>
      </c>
      <c r="BB208" s="675" t="s">
        <v>3147</v>
      </c>
      <c r="BC208" s="675" t="s">
        <v>3148</v>
      </c>
      <c r="BD208" s="675" t="s">
        <v>3149</v>
      </c>
      <c r="BE208" s="675" t="s">
        <v>3150</v>
      </c>
      <c r="BF208" s="675" t="s">
        <v>3151</v>
      </c>
      <c r="BG208" s="675" t="s">
        <v>364</v>
      </c>
      <c r="BH208" s="675" t="s">
        <v>3152</v>
      </c>
      <c r="BI208" s="675" t="s">
        <v>3153</v>
      </c>
      <c r="BJ208" s="675" t="s">
        <v>3099</v>
      </c>
      <c r="BK208" s="675" t="s">
        <v>3154</v>
      </c>
      <c r="BL208" s="675" t="s">
        <v>3155</v>
      </c>
      <c r="BM208" s="675" t="s">
        <v>3157</v>
      </c>
      <c r="BN208" s="675" t="s">
        <v>3156</v>
      </c>
      <c r="BO208" s="675" t="s">
        <v>3158</v>
      </c>
      <c r="BP208" s="675" t="s">
        <v>3159</v>
      </c>
      <c r="BQ208" s="675" t="s">
        <v>3160</v>
      </c>
      <c r="BR208" s="675" t="s">
        <v>3120</v>
      </c>
      <c r="BS208" s="675" t="s">
        <v>3117</v>
      </c>
      <c r="BT208" s="675" t="s">
        <v>3119</v>
      </c>
      <c r="BU208" s="675" t="s">
        <v>3161</v>
      </c>
      <c r="BV208" s="675" t="s">
        <v>3162</v>
      </c>
      <c r="BW208" s="675" t="s">
        <v>3163</v>
      </c>
      <c r="BX208" s="675" t="s">
        <v>3164</v>
      </c>
      <c r="BY208" s="675" t="s">
        <v>3165</v>
      </c>
      <c r="BZ208" s="675" t="s">
        <v>3166</v>
      </c>
      <c r="CA208" s="675" t="s">
        <v>3167</v>
      </c>
      <c r="CB208" s="675" t="s">
        <v>3147</v>
      </c>
      <c r="CC208" s="675" t="s">
        <v>3148</v>
      </c>
      <c r="CD208" s="675" t="s">
        <v>3149</v>
      </c>
      <c r="CE208" s="675" t="s">
        <v>3150</v>
      </c>
      <c r="CF208" s="675" t="s">
        <v>3151</v>
      </c>
      <c r="CG208" s="675" t="s">
        <v>364</v>
      </c>
      <c r="CH208" s="675" t="s">
        <v>3152</v>
      </c>
      <c r="CI208" s="675" t="s">
        <v>3153</v>
      </c>
      <c r="CJ208" s="675" t="s">
        <v>3099</v>
      </c>
      <c r="CK208" s="675" t="s">
        <v>3154</v>
      </c>
      <c r="CL208" s="675" t="s">
        <v>3155</v>
      </c>
      <c r="CM208" s="675" t="s">
        <v>3157</v>
      </c>
      <c r="CN208" s="675" t="s">
        <v>3156</v>
      </c>
      <c r="CO208" s="675" t="s">
        <v>3158</v>
      </c>
      <c r="CP208" s="675" t="s">
        <v>3159</v>
      </c>
      <c r="CQ208" s="675" t="s">
        <v>3160</v>
      </c>
      <c r="CR208" s="675" t="s">
        <v>3120</v>
      </c>
      <c r="CS208" s="675" t="s">
        <v>3117</v>
      </c>
      <c r="CT208" s="675" t="s">
        <v>3119</v>
      </c>
      <c r="CU208" s="675" t="s">
        <v>3161</v>
      </c>
      <c r="CV208" s="675" t="s">
        <v>3162</v>
      </c>
      <c r="CW208" s="675" t="s">
        <v>3163</v>
      </c>
      <c r="CX208" s="675" t="s">
        <v>3164</v>
      </c>
      <c r="CY208" s="675" t="s">
        <v>3165</v>
      </c>
      <c r="CZ208" s="675" t="s">
        <v>3166</v>
      </c>
      <c r="DA208" s="675" t="s">
        <v>3167</v>
      </c>
      <c r="DB208" s="675" t="s">
        <v>3147</v>
      </c>
      <c r="DC208" s="675" t="s">
        <v>3148</v>
      </c>
      <c r="DD208" s="675" t="s">
        <v>3149</v>
      </c>
      <c r="DE208" s="675" t="s">
        <v>3150</v>
      </c>
      <c r="DF208" s="675" t="s">
        <v>3151</v>
      </c>
      <c r="DG208" s="675" t="s">
        <v>364</v>
      </c>
      <c r="DH208" s="675" t="s">
        <v>3152</v>
      </c>
      <c r="DI208" s="675" t="s">
        <v>3153</v>
      </c>
      <c r="DJ208" s="675" t="s">
        <v>3099</v>
      </c>
      <c r="DK208" s="675" t="s">
        <v>3154</v>
      </c>
      <c r="DL208" s="675" t="s">
        <v>3155</v>
      </c>
      <c r="DM208" s="675" t="s">
        <v>3157</v>
      </c>
      <c r="DN208" s="675" t="s">
        <v>3156</v>
      </c>
      <c r="DO208" s="675" t="s">
        <v>3158</v>
      </c>
      <c r="DP208" s="675" t="s">
        <v>3159</v>
      </c>
      <c r="DQ208" s="675" t="s">
        <v>3160</v>
      </c>
      <c r="DR208" s="675" t="s">
        <v>3120</v>
      </c>
      <c r="DS208" s="675" t="s">
        <v>3117</v>
      </c>
      <c r="DT208" s="675" t="s">
        <v>3119</v>
      </c>
      <c r="DU208" s="675" t="s">
        <v>3161</v>
      </c>
      <c r="DV208" s="675" t="s">
        <v>3162</v>
      </c>
      <c r="DW208" s="675" t="s">
        <v>3163</v>
      </c>
      <c r="DX208" s="675" t="s">
        <v>3164</v>
      </c>
      <c r="DY208" s="675" t="s">
        <v>3165</v>
      </c>
      <c r="DZ208" s="675" t="s">
        <v>3166</v>
      </c>
      <c r="EA208" s="675" t="s">
        <v>3167</v>
      </c>
      <c r="EB208" s="675" t="s">
        <v>3147</v>
      </c>
      <c r="EC208" s="675" t="s">
        <v>3148</v>
      </c>
      <c r="ED208" s="675" t="s">
        <v>3149</v>
      </c>
      <c r="EE208" s="675" t="s">
        <v>3150</v>
      </c>
      <c r="EF208" s="675" t="s">
        <v>3151</v>
      </c>
      <c r="EG208" s="675" t="s">
        <v>364</v>
      </c>
      <c r="EH208" s="675" t="s">
        <v>3152</v>
      </c>
      <c r="EI208" s="675" t="s">
        <v>3153</v>
      </c>
      <c r="EJ208" s="675" t="s">
        <v>3099</v>
      </c>
      <c r="EK208" s="675" t="s">
        <v>3154</v>
      </c>
      <c r="EL208" s="675" t="s">
        <v>3155</v>
      </c>
      <c r="EM208" s="675" t="s">
        <v>3157</v>
      </c>
      <c r="EN208" s="675" t="s">
        <v>3156</v>
      </c>
      <c r="EO208" s="675" t="s">
        <v>3158</v>
      </c>
      <c r="EP208" s="675" t="s">
        <v>3159</v>
      </c>
      <c r="EQ208" s="675" t="s">
        <v>3160</v>
      </c>
      <c r="ER208" s="675" t="s">
        <v>3120</v>
      </c>
      <c r="ES208" s="675" t="s">
        <v>3117</v>
      </c>
      <c r="ET208" s="675" t="s">
        <v>3119</v>
      </c>
      <c r="EU208" s="675" t="s">
        <v>3161</v>
      </c>
      <c r="EV208" s="675" t="s">
        <v>3162</v>
      </c>
      <c r="EW208" s="675" t="s">
        <v>3163</v>
      </c>
      <c r="EX208" s="675" t="s">
        <v>3164</v>
      </c>
      <c r="EY208" s="675" t="s">
        <v>3165</v>
      </c>
      <c r="EZ208" s="675" t="s">
        <v>3166</v>
      </c>
      <c r="FA208" s="675" t="s">
        <v>3167</v>
      </c>
      <c r="FB208" s="675" t="s">
        <v>3147</v>
      </c>
      <c r="FC208" s="675" t="s">
        <v>3148</v>
      </c>
      <c r="FD208" s="675" t="s">
        <v>3149</v>
      </c>
      <c r="FE208" s="675" t="s">
        <v>3150</v>
      </c>
      <c r="FF208" s="675" t="s">
        <v>3151</v>
      </c>
      <c r="FG208" s="675" t="s">
        <v>364</v>
      </c>
      <c r="FH208" s="675" t="s">
        <v>3152</v>
      </c>
      <c r="FI208" s="675" t="s">
        <v>3153</v>
      </c>
      <c r="FJ208" s="675" t="s">
        <v>3099</v>
      </c>
      <c r="FK208" s="675" t="s">
        <v>3154</v>
      </c>
      <c r="FL208" s="675" t="s">
        <v>3155</v>
      </c>
      <c r="FM208" s="675" t="s">
        <v>3157</v>
      </c>
      <c r="FN208" s="675" t="s">
        <v>3156</v>
      </c>
      <c r="FO208" s="675" t="s">
        <v>3158</v>
      </c>
      <c r="FP208" s="675" t="s">
        <v>3159</v>
      </c>
      <c r="FQ208" s="675" t="s">
        <v>3160</v>
      </c>
      <c r="FR208" s="675" t="s">
        <v>3120</v>
      </c>
      <c r="FS208" s="675" t="s">
        <v>3117</v>
      </c>
      <c r="FT208" s="675" t="s">
        <v>3119</v>
      </c>
      <c r="FU208" s="675" t="s">
        <v>3161</v>
      </c>
      <c r="FV208" s="675" t="s">
        <v>3162</v>
      </c>
      <c r="FW208" s="675" t="s">
        <v>3163</v>
      </c>
      <c r="FX208" s="675" t="s">
        <v>3164</v>
      </c>
      <c r="FY208" s="675" t="s">
        <v>3165</v>
      </c>
      <c r="FZ208" s="675" t="s">
        <v>3166</v>
      </c>
      <c r="GA208" s="675" t="s">
        <v>3167</v>
      </c>
    </row>
    <row r="209" spans="1:1" ht="15.6" x14ac:dyDescent="0.3">
      <c r="A209" s="676" t="s">
        <v>412</v>
      </c>
    </row>
    <row r="210" spans="1:1" ht="15.6" x14ac:dyDescent="0.3">
      <c r="A210" s="676" t="s">
        <v>2986</v>
      </c>
    </row>
    <row r="211" spans="1:1" ht="15.6" x14ac:dyDescent="0.3">
      <c r="A211" s="676" t="s">
        <v>2987</v>
      </c>
    </row>
    <row r="212" spans="1:1" ht="15.6" x14ac:dyDescent="0.3">
      <c r="A212" s="676" t="s">
        <v>2988</v>
      </c>
    </row>
    <row r="213" spans="1:1" ht="15.6" x14ac:dyDescent="0.3">
      <c r="A213" s="676" t="s">
        <v>2989</v>
      </c>
    </row>
    <row r="214" spans="1:1" ht="15.6" x14ac:dyDescent="0.3">
      <c r="A214" s="676" t="s">
        <v>2990</v>
      </c>
    </row>
    <row r="215" spans="1:1" ht="15.6" x14ac:dyDescent="0.3">
      <c r="A215" s="676" t="s">
        <v>2991</v>
      </c>
    </row>
    <row r="216" spans="1:1" ht="15.6" x14ac:dyDescent="0.3">
      <c r="A216" s="676" t="s">
        <v>2992</v>
      </c>
    </row>
    <row r="217" spans="1:1" ht="15.6" x14ac:dyDescent="0.3">
      <c r="A217" s="676" t="s">
        <v>2993</v>
      </c>
    </row>
    <row r="218" spans="1:1" ht="15.6" x14ac:dyDescent="0.3">
      <c r="A218" s="676" t="s">
        <v>2994</v>
      </c>
    </row>
    <row r="219" spans="1:1" ht="15.6" x14ac:dyDescent="0.3">
      <c r="A219" s="676" t="s">
        <v>2995</v>
      </c>
    </row>
    <row r="220" spans="1:1" ht="15.6" x14ac:dyDescent="0.3">
      <c r="A220" s="676" t="s">
        <v>2996</v>
      </c>
    </row>
    <row r="221" spans="1:1" ht="15.6" x14ac:dyDescent="0.3">
      <c r="A221" s="676" t="s">
        <v>2997</v>
      </c>
    </row>
    <row r="222" spans="1:1" ht="15.6" x14ac:dyDescent="0.3">
      <c r="A222" s="676" t="s">
        <v>2998</v>
      </c>
    </row>
    <row r="223" spans="1:1" ht="15.6" x14ac:dyDescent="0.3">
      <c r="A223" s="676" t="s">
        <v>2999</v>
      </c>
    </row>
    <row r="224" spans="1:1" ht="15.6" x14ac:dyDescent="0.3">
      <c r="A224" s="676" t="s">
        <v>3000</v>
      </c>
    </row>
    <row r="225" spans="1:1" ht="15.6" x14ac:dyDescent="0.3">
      <c r="A225" s="676" t="s">
        <v>3001</v>
      </c>
    </row>
    <row r="226" spans="1:1" ht="15.6" x14ac:dyDescent="0.3">
      <c r="A226" s="676" t="s">
        <v>3002</v>
      </c>
    </row>
    <row r="227" spans="1:1" ht="15.6" x14ac:dyDescent="0.3">
      <c r="A227" s="676" t="s">
        <v>3003</v>
      </c>
    </row>
    <row r="228" spans="1:1" ht="15.6" x14ac:dyDescent="0.3">
      <c r="A228" s="676" t="s">
        <v>3004</v>
      </c>
    </row>
    <row r="229" spans="1:1" ht="15.6" x14ac:dyDescent="0.3">
      <c r="A229" s="676" t="s">
        <v>3005</v>
      </c>
    </row>
    <row r="230" spans="1:1" ht="15.6" x14ac:dyDescent="0.3">
      <c r="A230" s="676" t="s">
        <v>3006</v>
      </c>
    </row>
    <row r="231" spans="1:1" ht="15.6" x14ac:dyDescent="0.3">
      <c r="A231" s="676" t="s">
        <v>3007</v>
      </c>
    </row>
    <row r="232" spans="1:1" ht="15.6" x14ac:dyDescent="0.3">
      <c r="A232" s="676" t="s">
        <v>3008</v>
      </c>
    </row>
    <row r="233" spans="1:1" ht="15.6" x14ac:dyDescent="0.3">
      <c r="A233" s="676" t="s">
        <v>3009</v>
      </c>
    </row>
    <row r="234" spans="1:1" ht="15.6" x14ac:dyDescent="0.3">
      <c r="A234" s="676" t="s">
        <v>3010</v>
      </c>
    </row>
    <row r="235" spans="1:1" ht="15.6" x14ac:dyDescent="0.3">
      <c r="A235" s="676" t="s">
        <v>3011</v>
      </c>
    </row>
    <row r="236" spans="1:1" ht="15.6" x14ac:dyDescent="0.3">
      <c r="A236" s="676" t="s">
        <v>3012</v>
      </c>
    </row>
    <row r="237" spans="1:1" ht="15.6" x14ac:dyDescent="0.3">
      <c r="A237" s="676" t="s">
        <v>3013</v>
      </c>
    </row>
    <row r="238" spans="1:1" ht="15.6" x14ac:dyDescent="0.3">
      <c r="A238" s="676" t="s">
        <v>3014</v>
      </c>
    </row>
    <row r="239" spans="1:1" ht="15.6" x14ac:dyDescent="0.3">
      <c r="A239" s="676" t="s">
        <v>3015</v>
      </c>
    </row>
    <row r="240" spans="1:1" ht="15.6" x14ac:dyDescent="0.3">
      <c r="A240" s="676" t="s">
        <v>3016</v>
      </c>
    </row>
    <row r="241" spans="1:1" ht="15.6" x14ac:dyDescent="0.3">
      <c r="A241" s="676" t="s">
        <v>3017</v>
      </c>
    </row>
    <row r="242" spans="1:1" ht="15.6" x14ac:dyDescent="0.3">
      <c r="A242" s="676" t="s">
        <v>3018</v>
      </c>
    </row>
    <row r="243" spans="1:1" ht="15.6" x14ac:dyDescent="0.3">
      <c r="A243" s="676" t="s">
        <v>3019</v>
      </c>
    </row>
    <row r="244" spans="1:1" ht="15.6" x14ac:dyDescent="0.3">
      <c r="A244" s="676" t="s">
        <v>3020</v>
      </c>
    </row>
    <row r="245" spans="1:1" ht="15.6" x14ac:dyDescent="0.3">
      <c r="A245" s="676" t="s">
        <v>3021</v>
      </c>
    </row>
    <row r="246" spans="1:1" ht="15.6" x14ac:dyDescent="0.3">
      <c r="A246" s="676" t="s">
        <v>3022</v>
      </c>
    </row>
    <row r="247" spans="1:1" ht="15.6" x14ac:dyDescent="0.3">
      <c r="A247" s="676" t="s">
        <v>3023</v>
      </c>
    </row>
    <row r="248" spans="1:1" ht="15.6" x14ac:dyDescent="0.3">
      <c r="A248" s="676" t="s">
        <v>3024</v>
      </c>
    </row>
    <row r="249" spans="1:1" ht="15.6" x14ac:dyDescent="0.3">
      <c r="A249" s="676" t="s">
        <v>3025</v>
      </c>
    </row>
    <row r="250" spans="1:1" ht="15.6" x14ac:dyDescent="0.3">
      <c r="A250" s="676" t="s">
        <v>3026</v>
      </c>
    </row>
    <row r="251" spans="1:1" ht="15.6" x14ac:dyDescent="0.3">
      <c r="A251" s="676" t="s">
        <v>3027</v>
      </c>
    </row>
    <row r="252" spans="1:1" ht="15.6" x14ac:dyDescent="0.3">
      <c r="A252" s="676" t="s">
        <v>3028</v>
      </c>
    </row>
    <row r="253" spans="1:1" ht="15.6" x14ac:dyDescent="0.3">
      <c r="A253" s="676" t="s">
        <v>3029</v>
      </c>
    </row>
    <row r="254" spans="1:1" ht="15.6" x14ac:dyDescent="0.3">
      <c r="A254" s="676" t="s">
        <v>3030</v>
      </c>
    </row>
    <row r="255" spans="1:1" ht="15.6" x14ac:dyDescent="0.3">
      <c r="A255" s="676" t="s">
        <v>3031</v>
      </c>
    </row>
    <row r="256" spans="1:1" ht="15.6" x14ac:dyDescent="0.3">
      <c r="A256" s="676" t="s">
        <v>3032</v>
      </c>
    </row>
    <row r="257" spans="1:1" ht="15.6" x14ac:dyDescent="0.3">
      <c r="A257" s="676" t="s">
        <v>3033</v>
      </c>
    </row>
    <row r="258" spans="1:1" ht="15.6" x14ac:dyDescent="0.3">
      <c r="A258" s="676" t="s">
        <v>3034</v>
      </c>
    </row>
    <row r="259" spans="1:1" ht="15.6" x14ac:dyDescent="0.3">
      <c r="A259" s="676" t="s">
        <v>3035</v>
      </c>
    </row>
    <row r="260" spans="1:1" ht="15.6" x14ac:dyDescent="0.3">
      <c r="A260" s="676" t="s">
        <v>3036</v>
      </c>
    </row>
    <row r="261" spans="1:1" ht="15.6" x14ac:dyDescent="0.3">
      <c r="A261" s="676" t="s">
        <v>3037</v>
      </c>
    </row>
    <row r="262" spans="1:1" ht="15.6" x14ac:dyDescent="0.3">
      <c r="A262" s="676" t="s">
        <v>3038</v>
      </c>
    </row>
    <row r="263" spans="1:1" ht="15.6" x14ac:dyDescent="0.3">
      <c r="A263" s="676" t="s">
        <v>3039</v>
      </c>
    </row>
    <row r="264" spans="1:1" ht="15.6" x14ac:dyDescent="0.3">
      <c r="A264" s="676" t="s">
        <v>3040</v>
      </c>
    </row>
    <row r="265" spans="1:1" ht="15.6" x14ac:dyDescent="0.3">
      <c r="A265" s="676" t="s">
        <v>3041</v>
      </c>
    </row>
    <row r="266" spans="1:1" ht="15.6" x14ac:dyDescent="0.3">
      <c r="A266" s="676" t="s">
        <v>3042</v>
      </c>
    </row>
    <row r="267" spans="1:1" ht="15.6" x14ac:dyDescent="0.3">
      <c r="A267" s="676" t="s">
        <v>3043</v>
      </c>
    </row>
    <row r="268" spans="1:1" ht="15.6" x14ac:dyDescent="0.3">
      <c r="A268" s="676" t="s">
        <v>3044</v>
      </c>
    </row>
    <row r="269" spans="1:1" ht="15.6" x14ac:dyDescent="0.3">
      <c r="A269" s="676" t="s">
        <v>3045</v>
      </c>
    </row>
    <row r="270" spans="1:1" ht="15.6" x14ac:dyDescent="0.3">
      <c r="A270" s="676" t="s">
        <v>3046</v>
      </c>
    </row>
    <row r="271" spans="1:1" ht="15.6" x14ac:dyDescent="0.3">
      <c r="A271" s="676" t="s">
        <v>3047</v>
      </c>
    </row>
    <row r="272" spans="1:1" ht="15.6" x14ac:dyDescent="0.3">
      <c r="A272" s="676" t="s">
        <v>3048</v>
      </c>
    </row>
    <row r="273" spans="1:1" ht="15.6" x14ac:dyDescent="0.3">
      <c r="A273" s="676" t="s">
        <v>3049</v>
      </c>
    </row>
    <row r="274" spans="1:1" ht="15.6" x14ac:dyDescent="0.3">
      <c r="A274" s="676" t="s">
        <v>3050</v>
      </c>
    </row>
    <row r="275" spans="1:1" ht="15.6" x14ac:dyDescent="0.3">
      <c r="A275" s="676" t="s">
        <v>3051</v>
      </c>
    </row>
    <row r="276" spans="1:1" ht="15.6" x14ac:dyDescent="0.3">
      <c r="A276" s="676" t="s">
        <v>3052</v>
      </c>
    </row>
    <row r="277" spans="1:1" ht="15.6" x14ac:dyDescent="0.3">
      <c r="A277" s="676" t="s">
        <v>3053</v>
      </c>
    </row>
    <row r="278" spans="1:1" ht="15.6" x14ac:dyDescent="0.3">
      <c r="A278" s="676" t="s">
        <v>3054</v>
      </c>
    </row>
    <row r="279" spans="1:1" ht="15.6" x14ac:dyDescent="0.3">
      <c r="A279" s="676" t="s">
        <v>3055</v>
      </c>
    </row>
    <row r="280" spans="1:1" ht="15.6" x14ac:dyDescent="0.3">
      <c r="A280" s="676" t="s">
        <v>3056</v>
      </c>
    </row>
    <row r="281" spans="1:1" ht="15.6" x14ac:dyDescent="0.3">
      <c r="A281" s="676" t="s">
        <v>3057</v>
      </c>
    </row>
    <row r="282" spans="1:1" ht="15.6" x14ac:dyDescent="0.3">
      <c r="A282" s="676" t="s">
        <v>3058</v>
      </c>
    </row>
    <row r="283" spans="1:1" ht="15.6" x14ac:dyDescent="0.3">
      <c r="A283" s="676" t="s">
        <v>3059</v>
      </c>
    </row>
    <row r="284" spans="1:1" ht="15.6" x14ac:dyDescent="0.3">
      <c r="A284" s="676" t="s">
        <v>3060</v>
      </c>
    </row>
    <row r="285" spans="1:1" ht="15.6" x14ac:dyDescent="0.3">
      <c r="A285" s="676" t="s">
        <v>3061</v>
      </c>
    </row>
    <row r="286" spans="1:1" ht="15.6" x14ac:dyDescent="0.3">
      <c r="A286" s="676" t="s">
        <v>3062</v>
      </c>
    </row>
    <row r="287" spans="1:1" ht="15.6" x14ac:dyDescent="0.3">
      <c r="A287" s="676" t="s">
        <v>3063</v>
      </c>
    </row>
    <row r="288" spans="1:1" ht="15.6" x14ac:dyDescent="0.3">
      <c r="A288" s="676" t="s">
        <v>3064</v>
      </c>
    </row>
    <row r="289" spans="1:1" ht="15.6" x14ac:dyDescent="0.3">
      <c r="A289" s="676" t="s">
        <v>3065</v>
      </c>
    </row>
    <row r="290" spans="1:1" ht="15.6" x14ac:dyDescent="0.3">
      <c r="A290" s="676" t="s">
        <v>3066</v>
      </c>
    </row>
    <row r="291" spans="1:1" ht="15.6" x14ac:dyDescent="0.3">
      <c r="A291" s="676" t="s">
        <v>3067</v>
      </c>
    </row>
    <row r="292" spans="1:1" ht="15.6" x14ac:dyDescent="0.3">
      <c r="A292" s="676" t="s">
        <v>3068</v>
      </c>
    </row>
    <row r="293" spans="1:1" ht="15.6" x14ac:dyDescent="0.3">
      <c r="A293" s="676" t="s">
        <v>3069</v>
      </c>
    </row>
    <row r="294" spans="1:1" ht="15.6" x14ac:dyDescent="0.3">
      <c r="A294" s="676" t="s">
        <v>3070</v>
      </c>
    </row>
    <row r="295" spans="1:1" ht="15.6" x14ac:dyDescent="0.3">
      <c r="A295" s="676" t="s">
        <v>3071</v>
      </c>
    </row>
    <row r="296" spans="1:1" ht="15.6" x14ac:dyDescent="0.3">
      <c r="A296" s="676" t="s">
        <v>3072</v>
      </c>
    </row>
    <row r="297" spans="1:1" ht="15.6" x14ac:dyDescent="0.3">
      <c r="A297" s="676" t="s">
        <v>3073</v>
      </c>
    </row>
    <row r="298" spans="1:1" ht="15.6" x14ac:dyDescent="0.3">
      <c r="A298" s="676" t="s">
        <v>3074</v>
      </c>
    </row>
    <row r="299" spans="1:1" ht="15.6" x14ac:dyDescent="0.3">
      <c r="A299" s="676" t="s">
        <v>3075</v>
      </c>
    </row>
    <row r="300" spans="1:1" ht="15.6" x14ac:dyDescent="0.3">
      <c r="A300" s="676" t="s">
        <v>3076</v>
      </c>
    </row>
    <row r="301" spans="1:1" ht="15.6" x14ac:dyDescent="0.3">
      <c r="A301" s="676" t="s">
        <v>3077</v>
      </c>
    </row>
    <row r="302" spans="1:1" ht="15.6" x14ac:dyDescent="0.3">
      <c r="A302" s="676" t="s">
        <v>3078</v>
      </c>
    </row>
    <row r="306" spans="1:183" x14ac:dyDescent="0.25">
      <c r="B306" s="880">
        <v>2014</v>
      </c>
      <c r="C306" s="880"/>
      <c r="D306" s="880"/>
      <c r="E306" s="880"/>
      <c r="F306" s="880"/>
      <c r="G306" s="880"/>
      <c r="H306" s="880"/>
      <c r="I306" s="880"/>
      <c r="J306" s="880"/>
      <c r="K306" s="880"/>
      <c r="L306" s="880"/>
      <c r="M306" s="880"/>
      <c r="N306" s="880"/>
      <c r="O306" s="880"/>
      <c r="P306" s="880"/>
      <c r="Q306" s="880"/>
      <c r="R306" s="880"/>
      <c r="S306" s="880"/>
      <c r="T306" s="880"/>
      <c r="U306" s="880"/>
      <c r="V306" s="880"/>
      <c r="W306" s="880"/>
      <c r="X306" s="880"/>
      <c r="Y306" s="880"/>
      <c r="Z306" s="880"/>
      <c r="AA306" s="880"/>
      <c r="AB306" s="880">
        <v>2015</v>
      </c>
      <c r="AC306" s="880"/>
      <c r="AD306" s="880"/>
      <c r="AE306" s="880"/>
      <c r="AF306" s="880"/>
      <c r="AG306" s="880"/>
      <c r="AH306" s="880"/>
      <c r="AI306" s="880"/>
      <c r="AJ306" s="880"/>
      <c r="AK306" s="880"/>
      <c r="AL306" s="880"/>
      <c r="AM306" s="880"/>
      <c r="AN306" s="880"/>
      <c r="AO306" s="880"/>
      <c r="AP306" s="880"/>
      <c r="AQ306" s="880"/>
      <c r="AR306" s="880"/>
      <c r="AS306" s="880"/>
      <c r="AT306" s="880"/>
      <c r="AU306" s="880"/>
      <c r="AV306" s="880"/>
      <c r="AW306" s="880"/>
      <c r="AX306" s="880"/>
      <c r="AY306" s="880"/>
      <c r="AZ306" s="880"/>
      <c r="BA306" s="880"/>
      <c r="BB306" s="880">
        <v>2016</v>
      </c>
      <c r="BC306" s="880"/>
      <c r="BD306" s="880"/>
      <c r="BE306" s="880"/>
      <c r="BF306" s="880"/>
      <c r="BG306" s="880"/>
      <c r="BH306" s="880"/>
      <c r="BI306" s="880"/>
      <c r="BJ306" s="880"/>
      <c r="BK306" s="880"/>
      <c r="BL306" s="880"/>
      <c r="BM306" s="880"/>
      <c r="BN306" s="880"/>
      <c r="BO306" s="880"/>
      <c r="BP306" s="880"/>
      <c r="BQ306" s="880"/>
      <c r="BR306" s="880"/>
      <c r="BS306" s="880"/>
      <c r="BT306" s="880"/>
      <c r="BU306" s="880"/>
      <c r="BV306" s="880"/>
      <c r="BW306" s="880"/>
      <c r="BX306" s="880"/>
      <c r="BY306" s="880"/>
      <c r="BZ306" s="880"/>
      <c r="CA306" s="880"/>
      <c r="CB306" s="880">
        <v>2017</v>
      </c>
      <c r="CC306" s="880"/>
      <c r="CD306" s="880"/>
      <c r="CE306" s="880"/>
      <c r="CF306" s="880"/>
      <c r="CG306" s="880"/>
      <c r="CH306" s="880"/>
      <c r="CI306" s="880"/>
      <c r="CJ306" s="880"/>
      <c r="CK306" s="880"/>
      <c r="CL306" s="880"/>
      <c r="CM306" s="880"/>
      <c r="CN306" s="880"/>
      <c r="CO306" s="880"/>
      <c r="CP306" s="880"/>
      <c r="CQ306" s="880"/>
      <c r="CR306" s="880"/>
      <c r="CS306" s="880"/>
      <c r="CT306" s="880"/>
      <c r="CU306" s="880"/>
      <c r="CV306" s="880"/>
      <c r="CW306" s="880"/>
      <c r="CX306" s="880"/>
      <c r="CY306" s="880"/>
      <c r="CZ306" s="880"/>
      <c r="DA306" s="880"/>
      <c r="DB306" s="880">
        <v>2018</v>
      </c>
      <c r="DC306" s="880"/>
      <c r="DD306" s="880"/>
      <c r="DE306" s="880"/>
      <c r="DF306" s="880"/>
      <c r="DG306" s="880"/>
      <c r="DH306" s="880"/>
      <c r="DI306" s="880"/>
      <c r="DJ306" s="880"/>
      <c r="DK306" s="880"/>
      <c r="DL306" s="880"/>
      <c r="DM306" s="880"/>
      <c r="DN306" s="880"/>
      <c r="DO306" s="880"/>
      <c r="DP306" s="880"/>
      <c r="DQ306" s="880"/>
      <c r="DR306" s="880"/>
      <c r="DS306" s="880"/>
      <c r="DT306" s="880"/>
      <c r="DU306" s="880"/>
      <c r="DV306" s="880"/>
      <c r="DW306" s="880"/>
      <c r="DX306" s="880"/>
      <c r="DY306" s="880"/>
      <c r="DZ306" s="880"/>
      <c r="EA306" s="880"/>
      <c r="EB306" s="880">
        <v>2019</v>
      </c>
      <c r="EC306" s="880"/>
      <c r="ED306" s="880"/>
      <c r="EE306" s="880"/>
      <c r="EF306" s="880"/>
      <c r="EG306" s="880"/>
      <c r="EH306" s="880"/>
      <c r="EI306" s="880"/>
      <c r="EJ306" s="880"/>
      <c r="EK306" s="880"/>
      <c r="EL306" s="880"/>
      <c r="EM306" s="880"/>
      <c r="EN306" s="880"/>
      <c r="EO306" s="880"/>
      <c r="EP306" s="880"/>
      <c r="EQ306" s="880"/>
      <c r="ER306" s="880"/>
      <c r="ES306" s="880"/>
      <c r="ET306" s="880"/>
      <c r="EU306" s="880"/>
      <c r="EV306" s="880"/>
      <c r="EW306" s="880"/>
      <c r="EX306" s="880"/>
      <c r="EY306" s="880"/>
      <c r="EZ306" s="880"/>
      <c r="FA306" s="880"/>
      <c r="FB306" s="880">
        <v>2020</v>
      </c>
      <c r="FC306" s="880"/>
      <c r="FD306" s="880"/>
      <c r="FE306" s="880"/>
      <c r="FF306" s="880"/>
      <c r="FG306" s="880"/>
      <c r="FH306" s="880"/>
      <c r="FI306" s="880"/>
      <c r="FJ306" s="880"/>
      <c r="FK306" s="880"/>
      <c r="FL306" s="880"/>
      <c r="FM306" s="880"/>
      <c r="FN306" s="880"/>
      <c r="FO306" s="880"/>
      <c r="FP306" s="880"/>
      <c r="FQ306" s="880"/>
      <c r="FR306" s="880"/>
      <c r="FS306" s="880"/>
      <c r="FT306" s="880"/>
      <c r="FU306" s="880"/>
      <c r="FV306" s="880"/>
      <c r="FW306" s="880"/>
      <c r="FX306" s="880"/>
      <c r="FY306" s="880"/>
      <c r="FZ306" s="880"/>
      <c r="GA306" s="880"/>
    </row>
    <row r="307" spans="1:183" ht="15.6" x14ac:dyDescent="0.25">
      <c r="A307" s="677" t="s">
        <v>3145</v>
      </c>
      <c r="B307" s="879" t="s">
        <v>3146</v>
      </c>
      <c r="C307" s="879"/>
      <c r="D307" s="879"/>
      <c r="E307" s="674"/>
      <c r="F307" s="674"/>
      <c r="G307" s="674"/>
      <c r="H307" s="674"/>
      <c r="I307" s="674"/>
      <c r="J307" s="674"/>
      <c r="K307" s="674"/>
      <c r="L307" s="674"/>
      <c r="M307" s="674"/>
      <c r="N307" s="674"/>
      <c r="O307" s="674"/>
      <c r="P307" s="674"/>
      <c r="Q307" s="674"/>
      <c r="R307" s="674"/>
      <c r="S307" s="674"/>
      <c r="T307" s="674"/>
      <c r="U307" s="674"/>
      <c r="V307" s="674"/>
      <c r="W307" s="674"/>
      <c r="X307" s="674"/>
      <c r="Y307" s="674"/>
      <c r="Z307" s="674"/>
      <c r="AA307" s="674"/>
      <c r="AB307" s="879" t="s">
        <v>3146</v>
      </c>
      <c r="AC307" s="879"/>
      <c r="AD307" s="879"/>
      <c r="AE307" s="674"/>
      <c r="AF307" s="674"/>
      <c r="AG307" s="674"/>
      <c r="AH307" s="674"/>
      <c r="AI307" s="674"/>
      <c r="AJ307" s="674"/>
      <c r="AK307" s="674"/>
      <c r="AL307" s="674"/>
      <c r="AM307" s="674"/>
      <c r="AN307" s="674"/>
      <c r="AO307" s="674"/>
      <c r="AP307" s="674"/>
      <c r="AQ307" s="674"/>
      <c r="AR307" s="674"/>
      <c r="AS307" s="674"/>
      <c r="AT307" s="674"/>
      <c r="AU307" s="674"/>
      <c r="AV307" s="674"/>
      <c r="AW307" s="674"/>
      <c r="AX307" s="674"/>
      <c r="AY307" s="674"/>
      <c r="AZ307" s="674"/>
      <c r="BA307" s="674"/>
      <c r="BB307" s="879" t="s">
        <v>3146</v>
      </c>
      <c r="BC307" s="879"/>
      <c r="BD307" s="879"/>
      <c r="BE307" s="674"/>
      <c r="BF307" s="674"/>
      <c r="BG307" s="674"/>
      <c r="BH307" s="674"/>
      <c r="BI307" s="674"/>
      <c r="BJ307" s="674"/>
      <c r="BK307" s="674"/>
      <c r="BL307" s="674"/>
      <c r="BM307" s="674"/>
      <c r="BN307" s="674"/>
      <c r="BO307" s="674"/>
      <c r="BP307" s="674"/>
      <c r="BQ307" s="674"/>
      <c r="BR307" s="674"/>
      <c r="BS307" s="674"/>
      <c r="BT307" s="674"/>
      <c r="BU307" s="674"/>
      <c r="BV307" s="674"/>
      <c r="BW307" s="674"/>
      <c r="BX307" s="674"/>
      <c r="BY307" s="674"/>
      <c r="BZ307" s="674"/>
      <c r="CA307" s="674"/>
      <c r="CB307" s="879" t="s">
        <v>3146</v>
      </c>
      <c r="CC307" s="879"/>
      <c r="CD307" s="879"/>
      <c r="CE307" s="674"/>
      <c r="CF307" s="674"/>
      <c r="CG307" s="674"/>
      <c r="CH307" s="674"/>
      <c r="CI307" s="674"/>
      <c r="CJ307" s="674"/>
      <c r="CK307" s="674"/>
      <c r="CL307" s="674"/>
      <c r="CM307" s="674"/>
      <c r="CN307" s="674"/>
      <c r="CO307" s="674"/>
      <c r="CP307" s="674"/>
      <c r="CQ307" s="674"/>
      <c r="CR307" s="674"/>
      <c r="CS307" s="674"/>
      <c r="CT307" s="674"/>
      <c r="CU307" s="674"/>
      <c r="CV307" s="674"/>
      <c r="CW307" s="674"/>
      <c r="CX307" s="674"/>
      <c r="CY307" s="674"/>
      <c r="CZ307" s="674"/>
      <c r="DA307" s="674"/>
      <c r="DB307" s="879" t="s">
        <v>3146</v>
      </c>
      <c r="DC307" s="879"/>
      <c r="DD307" s="879"/>
      <c r="DE307" s="674"/>
      <c r="DF307" s="674"/>
      <c r="DG307" s="674"/>
      <c r="DH307" s="674"/>
      <c r="DI307" s="674"/>
      <c r="DJ307" s="674"/>
      <c r="DK307" s="674"/>
      <c r="DL307" s="674"/>
      <c r="DM307" s="674"/>
      <c r="DN307" s="674"/>
      <c r="DO307" s="674"/>
      <c r="DP307" s="674"/>
      <c r="DQ307" s="674"/>
      <c r="DR307" s="674"/>
      <c r="DS307" s="674"/>
      <c r="DT307" s="674"/>
      <c r="DU307" s="674"/>
      <c r="DV307" s="674"/>
      <c r="DW307" s="674"/>
      <c r="DX307" s="674"/>
      <c r="DY307" s="674"/>
      <c r="DZ307" s="674"/>
      <c r="EA307" s="674"/>
      <c r="EB307" s="879" t="s">
        <v>3146</v>
      </c>
      <c r="EC307" s="879"/>
      <c r="ED307" s="879"/>
      <c r="EE307" s="674"/>
      <c r="EF307" s="674"/>
      <c r="EG307" s="674"/>
      <c r="EH307" s="674"/>
      <c r="EI307" s="674"/>
      <c r="EJ307" s="674"/>
      <c r="EK307" s="674"/>
      <c r="EL307" s="674"/>
      <c r="EM307" s="674"/>
      <c r="EN307" s="674"/>
      <c r="EO307" s="674"/>
      <c r="EP307" s="674"/>
      <c r="EQ307" s="674"/>
      <c r="ER307" s="674"/>
      <c r="ES307" s="674"/>
      <c r="ET307" s="674"/>
      <c r="EU307" s="674"/>
      <c r="EV307" s="674"/>
      <c r="EW307" s="674"/>
      <c r="EX307" s="674"/>
      <c r="EY307" s="674"/>
      <c r="EZ307" s="674"/>
      <c r="FA307" s="674"/>
      <c r="FB307" s="879" t="s">
        <v>3146</v>
      </c>
      <c r="FC307" s="879"/>
      <c r="FD307" s="879"/>
      <c r="FE307" s="674"/>
      <c r="FF307" s="674"/>
      <c r="FG307" s="674"/>
      <c r="FH307" s="674"/>
      <c r="FI307" s="674"/>
      <c r="FJ307" s="674"/>
      <c r="FK307" s="674"/>
      <c r="FL307" s="674"/>
      <c r="FM307" s="674"/>
      <c r="FN307" s="674"/>
      <c r="FO307" s="674"/>
      <c r="FP307" s="674"/>
      <c r="FQ307" s="674"/>
      <c r="FR307" s="674"/>
      <c r="FS307" s="674"/>
      <c r="FT307" s="674"/>
      <c r="FU307" s="674"/>
      <c r="FV307" s="674"/>
      <c r="FW307" s="674"/>
      <c r="FX307" s="674"/>
      <c r="FY307" s="674"/>
      <c r="FZ307" s="674"/>
      <c r="GA307" s="674"/>
    </row>
    <row r="308" spans="1:183" x14ac:dyDescent="0.25">
      <c r="A308" s="674"/>
      <c r="B308" s="675" t="s">
        <v>3147</v>
      </c>
      <c r="C308" s="675" t="s">
        <v>3148</v>
      </c>
      <c r="D308" s="675" t="s">
        <v>3149</v>
      </c>
      <c r="E308" s="675" t="s">
        <v>3150</v>
      </c>
      <c r="F308" s="675" t="s">
        <v>3151</v>
      </c>
      <c r="G308" s="675" t="s">
        <v>364</v>
      </c>
      <c r="H308" s="675" t="s">
        <v>3152</v>
      </c>
      <c r="I308" s="675" t="s">
        <v>3153</v>
      </c>
      <c r="J308" s="675" t="s">
        <v>3099</v>
      </c>
      <c r="K308" s="675" t="s">
        <v>3154</v>
      </c>
      <c r="L308" s="675" t="s">
        <v>3155</v>
      </c>
      <c r="M308" s="675" t="s">
        <v>3157</v>
      </c>
      <c r="N308" s="675" t="s">
        <v>3156</v>
      </c>
      <c r="O308" s="675" t="s">
        <v>3158</v>
      </c>
      <c r="P308" s="675" t="s">
        <v>3159</v>
      </c>
      <c r="Q308" s="675" t="s">
        <v>3160</v>
      </c>
      <c r="R308" s="675" t="s">
        <v>3120</v>
      </c>
      <c r="S308" s="675" t="s">
        <v>3117</v>
      </c>
      <c r="T308" s="675" t="s">
        <v>3119</v>
      </c>
      <c r="U308" s="675" t="s">
        <v>3161</v>
      </c>
      <c r="V308" s="675" t="s">
        <v>3162</v>
      </c>
      <c r="W308" s="675" t="s">
        <v>3163</v>
      </c>
      <c r="X308" s="675" t="s">
        <v>3164</v>
      </c>
      <c r="Y308" s="675" t="s">
        <v>3165</v>
      </c>
      <c r="Z308" s="675" t="s">
        <v>3166</v>
      </c>
      <c r="AA308" s="675" t="s">
        <v>3167</v>
      </c>
      <c r="AB308" s="675" t="s">
        <v>3147</v>
      </c>
      <c r="AC308" s="675" t="s">
        <v>3148</v>
      </c>
      <c r="AD308" s="675" t="s">
        <v>3149</v>
      </c>
      <c r="AE308" s="675" t="s">
        <v>3150</v>
      </c>
      <c r="AF308" s="675" t="s">
        <v>3151</v>
      </c>
      <c r="AG308" s="675" t="s">
        <v>364</v>
      </c>
      <c r="AH308" s="675" t="s">
        <v>3152</v>
      </c>
      <c r="AI308" s="675" t="s">
        <v>3153</v>
      </c>
      <c r="AJ308" s="675" t="s">
        <v>3099</v>
      </c>
      <c r="AK308" s="675" t="s">
        <v>3154</v>
      </c>
      <c r="AL308" s="675" t="s">
        <v>3155</v>
      </c>
      <c r="AM308" s="675" t="s">
        <v>3157</v>
      </c>
      <c r="AN308" s="675" t="s">
        <v>3156</v>
      </c>
      <c r="AO308" s="675" t="s">
        <v>3158</v>
      </c>
      <c r="AP308" s="675" t="s">
        <v>3159</v>
      </c>
      <c r="AQ308" s="675" t="s">
        <v>3160</v>
      </c>
      <c r="AR308" s="675" t="s">
        <v>3120</v>
      </c>
      <c r="AS308" s="675" t="s">
        <v>3117</v>
      </c>
      <c r="AT308" s="675" t="s">
        <v>3119</v>
      </c>
      <c r="AU308" s="675" t="s">
        <v>3161</v>
      </c>
      <c r="AV308" s="675" t="s">
        <v>3162</v>
      </c>
      <c r="AW308" s="675" t="s">
        <v>3163</v>
      </c>
      <c r="AX308" s="675" t="s">
        <v>3164</v>
      </c>
      <c r="AY308" s="675" t="s">
        <v>3165</v>
      </c>
      <c r="AZ308" s="675" t="s">
        <v>3166</v>
      </c>
      <c r="BA308" s="675" t="s">
        <v>3167</v>
      </c>
      <c r="BB308" s="675" t="s">
        <v>3147</v>
      </c>
      <c r="BC308" s="675" t="s">
        <v>3148</v>
      </c>
      <c r="BD308" s="675" t="s">
        <v>3149</v>
      </c>
      <c r="BE308" s="675" t="s">
        <v>3150</v>
      </c>
      <c r="BF308" s="675" t="s">
        <v>3151</v>
      </c>
      <c r="BG308" s="675" t="s">
        <v>364</v>
      </c>
      <c r="BH308" s="675" t="s">
        <v>3152</v>
      </c>
      <c r="BI308" s="675" t="s">
        <v>3153</v>
      </c>
      <c r="BJ308" s="675" t="s">
        <v>3099</v>
      </c>
      <c r="BK308" s="675" t="s">
        <v>3154</v>
      </c>
      <c r="BL308" s="675" t="s">
        <v>3155</v>
      </c>
      <c r="BM308" s="675" t="s">
        <v>3157</v>
      </c>
      <c r="BN308" s="675" t="s">
        <v>3156</v>
      </c>
      <c r="BO308" s="675" t="s">
        <v>3158</v>
      </c>
      <c r="BP308" s="675" t="s">
        <v>3159</v>
      </c>
      <c r="BQ308" s="675" t="s">
        <v>3160</v>
      </c>
      <c r="BR308" s="675" t="s">
        <v>3120</v>
      </c>
      <c r="BS308" s="675" t="s">
        <v>3117</v>
      </c>
      <c r="BT308" s="675" t="s">
        <v>3119</v>
      </c>
      <c r="BU308" s="675" t="s">
        <v>3161</v>
      </c>
      <c r="BV308" s="675" t="s">
        <v>3162</v>
      </c>
      <c r="BW308" s="675" t="s">
        <v>3163</v>
      </c>
      <c r="BX308" s="675" t="s">
        <v>3164</v>
      </c>
      <c r="BY308" s="675" t="s">
        <v>3165</v>
      </c>
      <c r="BZ308" s="675" t="s">
        <v>3166</v>
      </c>
      <c r="CA308" s="675" t="s">
        <v>3167</v>
      </c>
      <c r="CB308" s="675" t="s">
        <v>3147</v>
      </c>
      <c r="CC308" s="675" t="s">
        <v>3148</v>
      </c>
      <c r="CD308" s="675" t="s">
        <v>3149</v>
      </c>
      <c r="CE308" s="675" t="s">
        <v>3150</v>
      </c>
      <c r="CF308" s="675" t="s">
        <v>3151</v>
      </c>
      <c r="CG308" s="675" t="s">
        <v>364</v>
      </c>
      <c r="CH308" s="675" t="s">
        <v>3152</v>
      </c>
      <c r="CI308" s="675" t="s">
        <v>3153</v>
      </c>
      <c r="CJ308" s="675" t="s">
        <v>3099</v>
      </c>
      <c r="CK308" s="675" t="s">
        <v>3154</v>
      </c>
      <c r="CL308" s="675" t="s">
        <v>3155</v>
      </c>
      <c r="CM308" s="675" t="s">
        <v>3157</v>
      </c>
      <c r="CN308" s="675" t="s">
        <v>3156</v>
      </c>
      <c r="CO308" s="675" t="s">
        <v>3158</v>
      </c>
      <c r="CP308" s="675" t="s">
        <v>3159</v>
      </c>
      <c r="CQ308" s="675" t="s">
        <v>3160</v>
      </c>
      <c r="CR308" s="675" t="s">
        <v>3120</v>
      </c>
      <c r="CS308" s="675" t="s">
        <v>3117</v>
      </c>
      <c r="CT308" s="675" t="s">
        <v>3119</v>
      </c>
      <c r="CU308" s="675" t="s">
        <v>3161</v>
      </c>
      <c r="CV308" s="675" t="s">
        <v>3162</v>
      </c>
      <c r="CW308" s="675" t="s">
        <v>3163</v>
      </c>
      <c r="CX308" s="675" t="s">
        <v>3164</v>
      </c>
      <c r="CY308" s="675" t="s">
        <v>3165</v>
      </c>
      <c r="CZ308" s="675" t="s">
        <v>3166</v>
      </c>
      <c r="DA308" s="675" t="s">
        <v>3167</v>
      </c>
      <c r="DB308" s="675" t="s">
        <v>3147</v>
      </c>
      <c r="DC308" s="675" t="s">
        <v>3148</v>
      </c>
      <c r="DD308" s="675" t="s">
        <v>3149</v>
      </c>
      <c r="DE308" s="675" t="s">
        <v>3150</v>
      </c>
      <c r="DF308" s="675" t="s">
        <v>3151</v>
      </c>
      <c r="DG308" s="675" t="s">
        <v>364</v>
      </c>
      <c r="DH308" s="675" t="s">
        <v>3152</v>
      </c>
      <c r="DI308" s="675" t="s">
        <v>3153</v>
      </c>
      <c r="DJ308" s="675" t="s">
        <v>3099</v>
      </c>
      <c r="DK308" s="675" t="s">
        <v>3154</v>
      </c>
      <c r="DL308" s="675" t="s">
        <v>3155</v>
      </c>
      <c r="DM308" s="675" t="s">
        <v>3157</v>
      </c>
      <c r="DN308" s="675" t="s">
        <v>3156</v>
      </c>
      <c r="DO308" s="675" t="s">
        <v>3158</v>
      </c>
      <c r="DP308" s="675" t="s">
        <v>3159</v>
      </c>
      <c r="DQ308" s="675" t="s">
        <v>3160</v>
      </c>
      <c r="DR308" s="675" t="s">
        <v>3120</v>
      </c>
      <c r="DS308" s="675" t="s">
        <v>3117</v>
      </c>
      <c r="DT308" s="675" t="s">
        <v>3119</v>
      </c>
      <c r="DU308" s="675" t="s">
        <v>3161</v>
      </c>
      <c r="DV308" s="675" t="s">
        <v>3162</v>
      </c>
      <c r="DW308" s="675" t="s">
        <v>3163</v>
      </c>
      <c r="DX308" s="675" t="s">
        <v>3164</v>
      </c>
      <c r="DY308" s="675" t="s">
        <v>3165</v>
      </c>
      <c r="DZ308" s="675" t="s">
        <v>3166</v>
      </c>
      <c r="EA308" s="675" t="s">
        <v>3167</v>
      </c>
      <c r="EB308" s="675" t="s">
        <v>3147</v>
      </c>
      <c r="EC308" s="675" t="s">
        <v>3148</v>
      </c>
      <c r="ED308" s="675" t="s">
        <v>3149</v>
      </c>
      <c r="EE308" s="675" t="s">
        <v>3150</v>
      </c>
      <c r="EF308" s="675" t="s">
        <v>3151</v>
      </c>
      <c r="EG308" s="675" t="s">
        <v>364</v>
      </c>
      <c r="EH308" s="675" t="s">
        <v>3152</v>
      </c>
      <c r="EI308" s="675" t="s">
        <v>3153</v>
      </c>
      <c r="EJ308" s="675" t="s">
        <v>3099</v>
      </c>
      <c r="EK308" s="675" t="s">
        <v>3154</v>
      </c>
      <c r="EL308" s="675" t="s">
        <v>3155</v>
      </c>
      <c r="EM308" s="675" t="s">
        <v>3157</v>
      </c>
      <c r="EN308" s="675" t="s">
        <v>3156</v>
      </c>
      <c r="EO308" s="675" t="s">
        <v>3158</v>
      </c>
      <c r="EP308" s="675" t="s">
        <v>3159</v>
      </c>
      <c r="EQ308" s="675" t="s">
        <v>3160</v>
      </c>
      <c r="ER308" s="675" t="s">
        <v>3120</v>
      </c>
      <c r="ES308" s="675" t="s">
        <v>3117</v>
      </c>
      <c r="ET308" s="675" t="s">
        <v>3119</v>
      </c>
      <c r="EU308" s="675" t="s">
        <v>3161</v>
      </c>
      <c r="EV308" s="675" t="s">
        <v>3162</v>
      </c>
      <c r="EW308" s="675" t="s">
        <v>3163</v>
      </c>
      <c r="EX308" s="675" t="s">
        <v>3164</v>
      </c>
      <c r="EY308" s="675" t="s">
        <v>3165</v>
      </c>
      <c r="EZ308" s="675" t="s">
        <v>3166</v>
      </c>
      <c r="FA308" s="675" t="s">
        <v>3167</v>
      </c>
      <c r="FB308" s="675" t="s">
        <v>3147</v>
      </c>
      <c r="FC308" s="675" t="s">
        <v>3148</v>
      </c>
      <c r="FD308" s="675" t="s">
        <v>3149</v>
      </c>
      <c r="FE308" s="675" t="s">
        <v>3150</v>
      </c>
      <c r="FF308" s="675" t="s">
        <v>3151</v>
      </c>
      <c r="FG308" s="675" t="s">
        <v>364</v>
      </c>
      <c r="FH308" s="675" t="s">
        <v>3152</v>
      </c>
      <c r="FI308" s="675" t="s">
        <v>3153</v>
      </c>
      <c r="FJ308" s="675" t="s">
        <v>3099</v>
      </c>
      <c r="FK308" s="675" t="s">
        <v>3154</v>
      </c>
      <c r="FL308" s="675" t="s">
        <v>3155</v>
      </c>
      <c r="FM308" s="675" t="s">
        <v>3157</v>
      </c>
      <c r="FN308" s="675" t="s">
        <v>3156</v>
      </c>
      <c r="FO308" s="675" t="s">
        <v>3158</v>
      </c>
      <c r="FP308" s="675" t="s">
        <v>3159</v>
      </c>
      <c r="FQ308" s="675" t="s">
        <v>3160</v>
      </c>
      <c r="FR308" s="675" t="s">
        <v>3120</v>
      </c>
      <c r="FS308" s="675" t="s">
        <v>3117</v>
      </c>
      <c r="FT308" s="675" t="s">
        <v>3119</v>
      </c>
      <c r="FU308" s="675" t="s">
        <v>3161</v>
      </c>
      <c r="FV308" s="675" t="s">
        <v>3162</v>
      </c>
      <c r="FW308" s="675" t="s">
        <v>3163</v>
      </c>
      <c r="FX308" s="675" t="s">
        <v>3164</v>
      </c>
      <c r="FY308" s="675" t="s">
        <v>3165</v>
      </c>
      <c r="FZ308" s="675" t="s">
        <v>3166</v>
      </c>
      <c r="GA308" s="675" t="s">
        <v>3167</v>
      </c>
    </row>
    <row r="309" spans="1:183" ht="15.6" x14ac:dyDescent="0.3">
      <c r="A309" s="676" t="s">
        <v>412</v>
      </c>
    </row>
    <row r="310" spans="1:183" ht="15.6" x14ac:dyDescent="0.3">
      <c r="A310" s="676" t="s">
        <v>2986</v>
      </c>
    </row>
    <row r="311" spans="1:183" ht="15.6" x14ac:dyDescent="0.3">
      <c r="A311" s="676" t="s">
        <v>2987</v>
      </c>
    </row>
    <row r="312" spans="1:183" ht="15.6" x14ac:dyDescent="0.3">
      <c r="A312" s="676" t="s">
        <v>2988</v>
      </c>
    </row>
    <row r="313" spans="1:183" ht="15.6" x14ac:dyDescent="0.3">
      <c r="A313" s="676" t="s">
        <v>2989</v>
      </c>
    </row>
    <row r="314" spans="1:183" ht="15.6" x14ac:dyDescent="0.3">
      <c r="A314" s="676" t="s">
        <v>2990</v>
      </c>
    </row>
    <row r="315" spans="1:183" ht="15.6" x14ac:dyDescent="0.3">
      <c r="A315" s="676" t="s">
        <v>2991</v>
      </c>
    </row>
    <row r="316" spans="1:183" ht="15.6" x14ac:dyDescent="0.3">
      <c r="A316" s="676" t="s">
        <v>2992</v>
      </c>
    </row>
    <row r="317" spans="1:183" ht="15.6" x14ac:dyDescent="0.3">
      <c r="A317" s="676" t="s">
        <v>2993</v>
      </c>
    </row>
    <row r="318" spans="1:183" ht="15.6" x14ac:dyDescent="0.3">
      <c r="A318" s="676" t="s">
        <v>2994</v>
      </c>
    </row>
    <row r="319" spans="1:183" ht="15.6" x14ac:dyDescent="0.3">
      <c r="A319" s="676" t="s">
        <v>2995</v>
      </c>
    </row>
    <row r="320" spans="1:183" ht="15.6" x14ac:dyDescent="0.3">
      <c r="A320" s="676" t="s">
        <v>2996</v>
      </c>
    </row>
    <row r="321" spans="1:1" ht="15.6" x14ac:dyDescent="0.3">
      <c r="A321" s="676" t="s">
        <v>2997</v>
      </c>
    </row>
    <row r="322" spans="1:1" ht="15.6" x14ac:dyDescent="0.3">
      <c r="A322" s="676" t="s">
        <v>2998</v>
      </c>
    </row>
    <row r="323" spans="1:1" ht="15.6" x14ac:dyDescent="0.3">
      <c r="A323" s="676" t="s">
        <v>2999</v>
      </c>
    </row>
    <row r="324" spans="1:1" ht="15.6" x14ac:dyDescent="0.3">
      <c r="A324" s="676" t="s">
        <v>3000</v>
      </c>
    </row>
    <row r="325" spans="1:1" ht="15.6" x14ac:dyDescent="0.3">
      <c r="A325" s="676" t="s">
        <v>3001</v>
      </c>
    </row>
    <row r="326" spans="1:1" ht="15.6" x14ac:dyDescent="0.3">
      <c r="A326" s="676" t="s">
        <v>3002</v>
      </c>
    </row>
    <row r="327" spans="1:1" ht="15.6" x14ac:dyDescent="0.3">
      <c r="A327" s="676" t="s">
        <v>3003</v>
      </c>
    </row>
    <row r="328" spans="1:1" ht="15.6" x14ac:dyDescent="0.3">
      <c r="A328" s="676" t="s">
        <v>3004</v>
      </c>
    </row>
    <row r="329" spans="1:1" ht="15.6" x14ac:dyDescent="0.3">
      <c r="A329" s="676" t="s">
        <v>3005</v>
      </c>
    </row>
    <row r="330" spans="1:1" ht="15.6" x14ac:dyDescent="0.3">
      <c r="A330" s="676" t="s">
        <v>3006</v>
      </c>
    </row>
    <row r="331" spans="1:1" ht="15.6" x14ac:dyDescent="0.3">
      <c r="A331" s="676" t="s">
        <v>3007</v>
      </c>
    </row>
    <row r="332" spans="1:1" ht="15.6" x14ac:dyDescent="0.3">
      <c r="A332" s="676" t="s">
        <v>3008</v>
      </c>
    </row>
    <row r="333" spans="1:1" ht="15.6" x14ac:dyDescent="0.3">
      <c r="A333" s="676" t="s">
        <v>3009</v>
      </c>
    </row>
    <row r="334" spans="1:1" ht="15.6" x14ac:dyDescent="0.3">
      <c r="A334" s="676" t="s">
        <v>3010</v>
      </c>
    </row>
    <row r="335" spans="1:1" ht="15.6" x14ac:dyDescent="0.3">
      <c r="A335" s="676" t="s">
        <v>3011</v>
      </c>
    </row>
    <row r="336" spans="1:1" ht="15.6" x14ac:dyDescent="0.3">
      <c r="A336" s="676" t="s">
        <v>3012</v>
      </c>
    </row>
    <row r="337" spans="1:1" ht="15.6" x14ac:dyDescent="0.3">
      <c r="A337" s="676" t="s">
        <v>3013</v>
      </c>
    </row>
    <row r="338" spans="1:1" ht="15.6" x14ac:dyDescent="0.3">
      <c r="A338" s="676" t="s">
        <v>3014</v>
      </c>
    </row>
    <row r="339" spans="1:1" ht="15.6" x14ac:dyDescent="0.3">
      <c r="A339" s="676" t="s">
        <v>3015</v>
      </c>
    </row>
    <row r="340" spans="1:1" ht="15.6" x14ac:dyDescent="0.3">
      <c r="A340" s="676" t="s">
        <v>3016</v>
      </c>
    </row>
    <row r="341" spans="1:1" ht="15.6" x14ac:dyDescent="0.3">
      <c r="A341" s="676" t="s">
        <v>3017</v>
      </c>
    </row>
    <row r="342" spans="1:1" ht="15.6" x14ac:dyDescent="0.3">
      <c r="A342" s="676" t="s">
        <v>3018</v>
      </c>
    </row>
    <row r="343" spans="1:1" ht="15.6" x14ac:dyDescent="0.3">
      <c r="A343" s="676" t="s">
        <v>3019</v>
      </c>
    </row>
    <row r="344" spans="1:1" ht="15.6" x14ac:dyDescent="0.3">
      <c r="A344" s="676" t="s">
        <v>3020</v>
      </c>
    </row>
    <row r="345" spans="1:1" ht="15.6" x14ac:dyDescent="0.3">
      <c r="A345" s="676" t="s">
        <v>3021</v>
      </c>
    </row>
    <row r="346" spans="1:1" ht="15.6" x14ac:dyDescent="0.3">
      <c r="A346" s="676" t="s">
        <v>3022</v>
      </c>
    </row>
    <row r="347" spans="1:1" ht="15.6" x14ac:dyDescent="0.3">
      <c r="A347" s="676" t="s">
        <v>3023</v>
      </c>
    </row>
    <row r="348" spans="1:1" ht="15.6" x14ac:dyDescent="0.3">
      <c r="A348" s="676" t="s">
        <v>3024</v>
      </c>
    </row>
    <row r="349" spans="1:1" ht="15.6" x14ac:dyDescent="0.3">
      <c r="A349" s="676" t="s">
        <v>3025</v>
      </c>
    </row>
    <row r="350" spans="1:1" ht="15.6" x14ac:dyDescent="0.3">
      <c r="A350" s="676" t="s">
        <v>3026</v>
      </c>
    </row>
    <row r="351" spans="1:1" ht="15.6" x14ac:dyDescent="0.3">
      <c r="A351" s="676" t="s">
        <v>3027</v>
      </c>
    </row>
    <row r="352" spans="1:1" ht="15.6" x14ac:dyDescent="0.3">
      <c r="A352" s="676" t="s">
        <v>3028</v>
      </c>
    </row>
    <row r="353" spans="1:1" ht="15.6" x14ac:dyDescent="0.3">
      <c r="A353" s="676" t="s">
        <v>3029</v>
      </c>
    </row>
    <row r="354" spans="1:1" ht="15.6" x14ac:dyDescent="0.3">
      <c r="A354" s="676" t="s">
        <v>3030</v>
      </c>
    </row>
    <row r="355" spans="1:1" ht="15.6" x14ac:dyDescent="0.3">
      <c r="A355" s="676" t="s">
        <v>3031</v>
      </c>
    </row>
    <row r="356" spans="1:1" ht="15.6" x14ac:dyDescent="0.3">
      <c r="A356" s="676" t="s">
        <v>3032</v>
      </c>
    </row>
    <row r="357" spans="1:1" ht="15.6" x14ac:dyDescent="0.3">
      <c r="A357" s="676" t="s">
        <v>3033</v>
      </c>
    </row>
    <row r="358" spans="1:1" ht="15.6" x14ac:dyDescent="0.3">
      <c r="A358" s="676" t="s">
        <v>3034</v>
      </c>
    </row>
    <row r="359" spans="1:1" ht="15.6" x14ac:dyDescent="0.3">
      <c r="A359" s="676" t="s">
        <v>3035</v>
      </c>
    </row>
    <row r="360" spans="1:1" ht="15.6" x14ac:dyDescent="0.3">
      <c r="A360" s="676" t="s">
        <v>3036</v>
      </c>
    </row>
    <row r="361" spans="1:1" ht="15.6" x14ac:dyDescent="0.3">
      <c r="A361" s="676" t="s">
        <v>3037</v>
      </c>
    </row>
    <row r="362" spans="1:1" ht="15.6" x14ac:dyDescent="0.3">
      <c r="A362" s="676" t="s">
        <v>3038</v>
      </c>
    </row>
    <row r="363" spans="1:1" ht="15.6" x14ac:dyDescent="0.3">
      <c r="A363" s="676" t="s">
        <v>3039</v>
      </c>
    </row>
    <row r="364" spans="1:1" ht="15.6" x14ac:dyDescent="0.3">
      <c r="A364" s="676" t="s">
        <v>3040</v>
      </c>
    </row>
    <row r="365" spans="1:1" ht="15.6" x14ac:dyDescent="0.3">
      <c r="A365" s="676" t="s">
        <v>3041</v>
      </c>
    </row>
    <row r="366" spans="1:1" ht="15.6" x14ac:dyDescent="0.3">
      <c r="A366" s="676" t="s">
        <v>3042</v>
      </c>
    </row>
    <row r="367" spans="1:1" ht="15.6" x14ac:dyDescent="0.3">
      <c r="A367" s="676" t="s">
        <v>3043</v>
      </c>
    </row>
    <row r="368" spans="1:1" ht="15.6" x14ac:dyDescent="0.3">
      <c r="A368" s="676" t="s">
        <v>3044</v>
      </c>
    </row>
    <row r="369" spans="1:1" ht="15.6" x14ac:dyDescent="0.3">
      <c r="A369" s="676" t="s">
        <v>3045</v>
      </c>
    </row>
    <row r="370" spans="1:1" ht="15.6" x14ac:dyDescent="0.3">
      <c r="A370" s="676" t="s">
        <v>3046</v>
      </c>
    </row>
    <row r="371" spans="1:1" ht="15.6" x14ac:dyDescent="0.3">
      <c r="A371" s="676" t="s">
        <v>3047</v>
      </c>
    </row>
    <row r="372" spans="1:1" ht="15.6" x14ac:dyDescent="0.3">
      <c r="A372" s="676" t="s">
        <v>3048</v>
      </c>
    </row>
    <row r="373" spans="1:1" ht="15.6" x14ac:dyDescent="0.3">
      <c r="A373" s="676" t="s">
        <v>3049</v>
      </c>
    </row>
    <row r="374" spans="1:1" ht="15.6" x14ac:dyDescent="0.3">
      <c r="A374" s="676" t="s">
        <v>3050</v>
      </c>
    </row>
    <row r="375" spans="1:1" ht="15.6" x14ac:dyDescent="0.3">
      <c r="A375" s="676" t="s">
        <v>3051</v>
      </c>
    </row>
    <row r="376" spans="1:1" ht="15.6" x14ac:dyDescent="0.3">
      <c r="A376" s="676" t="s">
        <v>3052</v>
      </c>
    </row>
    <row r="377" spans="1:1" ht="15.6" x14ac:dyDescent="0.3">
      <c r="A377" s="676" t="s">
        <v>3053</v>
      </c>
    </row>
    <row r="378" spans="1:1" ht="15.6" x14ac:dyDescent="0.3">
      <c r="A378" s="676" t="s">
        <v>3054</v>
      </c>
    </row>
    <row r="379" spans="1:1" ht="15.6" x14ac:dyDescent="0.3">
      <c r="A379" s="676" t="s">
        <v>3055</v>
      </c>
    </row>
    <row r="380" spans="1:1" ht="15.6" x14ac:dyDescent="0.3">
      <c r="A380" s="676" t="s">
        <v>3056</v>
      </c>
    </row>
    <row r="381" spans="1:1" ht="15.6" x14ac:dyDescent="0.3">
      <c r="A381" s="676" t="s">
        <v>3057</v>
      </c>
    </row>
    <row r="382" spans="1:1" ht="15.6" x14ac:dyDescent="0.3">
      <c r="A382" s="676" t="s">
        <v>3058</v>
      </c>
    </row>
    <row r="383" spans="1:1" ht="15.6" x14ac:dyDescent="0.3">
      <c r="A383" s="676" t="s">
        <v>3059</v>
      </c>
    </row>
    <row r="384" spans="1:1" ht="15.6" x14ac:dyDescent="0.3">
      <c r="A384" s="676" t="s">
        <v>3060</v>
      </c>
    </row>
    <row r="385" spans="1:1" ht="15.6" x14ac:dyDescent="0.3">
      <c r="A385" s="676" t="s">
        <v>3061</v>
      </c>
    </row>
    <row r="386" spans="1:1" ht="15.6" x14ac:dyDescent="0.3">
      <c r="A386" s="676" t="s">
        <v>3062</v>
      </c>
    </row>
    <row r="387" spans="1:1" ht="15.6" x14ac:dyDescent="0.3">
      <c r="A387" s="676" t="s">
        <v>3063</v>
      </c>
    </row>
    <row r="388" spans="1:1" ht="15.6" x14ac:dyDescent="0.3">
      <c r="A388" s="676" t="s">
        <v>3064</v>
      </c>
    </row>
    <row r="389" spans="1:1" ht="15.6" x14ac:dyDescent="0.3">
      <c r="A389" s="676" t="s">
        <v>3065</v>
      </c>
    </row>
    <row r="390" spans="1:1" ht="15.6" x14ac:dyDescent="0.3">
      <c r="A390" s="676" t="s">
        <v>3066</v>
      </c>
    </row>
    <row r="391" spans="1:1" ht="15.6" x14ac:dyDescent="0.3">
      <c r="A391" s="676" t="s">
        <v>3067</v>
      </c>
    </row>
    <row r="392" spans="1:1" ht="15.6" x14ac:dyDescent="0.3">
      <c r="A392" s="676" t="s">
        <v>3068</v>
      </c>
    </row>
    <row r="393" spans="1:1" ht="15.6" x14ac:dyDescent="0.3">
      <c r="A393" s="676" t="s">
        <v>3069</v>
      </c>
    </row>
    <row r="394" spans="1:1" ht="15.6" x14ac:dyDescent="0.3">
      <c r="A394" s="676" t="s">
        <v>3070</v>
      </c>
    </row>
    <row r="395" spans="1:1" ht="15.6" x14ac:dyDescent="0.3">
      <c r="A395" s="676" t="s">
        <v>3071</v>
      </c>
    </row>
    <row r="396" spans="1:1" ht="15.6" x14ac:dyDescent="0.3">
      <c r="A396" s="676" t="s">
        <v>3072</v>
      </c>
    </row>
    <row r="397" spans="1:1" ht="15.6" x14ac:dyDescent="0.3">
      <c r="A397" s="676" t="s">
        <v>3073</v>
      </c>
    </row>
    <row r="398" spans="1:1" ht="15.6" x14ac:dyDescent="0.3">
      <c r="A398" s="676" t="s">
        <v>3074</v>
      </c>
    </row>
    <row r="399" spans="1:1" ht="15.6" x14ac:dyDescent="0.3">
      <c r="A399" s="676" t="s">
        <v>3075</v>
      </c>
    </row>
    <row r="400" spans="1:1" ht="15.6" x14ac:dyDescent="0.3">
      <c r="A400" s="676" t="s">
        <v>3076</v>
      </c>
    </row>
    <row r="401" spans="1:183" ht="15.6" x14ac:dyDescent="0.3">
      <c r="A401" s="676" t="s">
        <v>3077</v>
      </c>
    </row>
    <row r="402" spans="1:183" ht="15.6" x14ac:dyDescent="0.3">
      <c r="A402" s="676" t="s">
        <v>3078</v>
      </c>
    </row>
    <row r="406" spans="1:183" x14ac:dyDescent="0.25">
      <c r="B406" s="880">
        <v>2014</v>
      </c>
      <c r="C406" s="880"/>
      <c r="D406" s="880"/>
      <c r="E406" s="880"/>
      <c r="F406" s="880"/>
      <c r="G406" s="880"/>
      <c r="H406" s="880"/>
      <c r="I406" s="880"/>
      <c r="J406" s="880"/>
      <c r="K406" s="880"/>
      <c r="L406" s="880"/>
      <c r="M406" s="880"/>
      <c r="N406" s="880"/>
      <c r="O406" s="880"/>
      <c r="P406" s="880"/>
      <c r="Q406" s="880"/>
      <c r="R406" s="880"/>
      <c r="S406" s="880"/>
      <c r="T406" s="880"/>
      <c r="U406" s="880"/>
      <c r="V406" s="880"/>
      <c r="W406" s="880"/>
      <c r="X406" s="880"/>
      <c r="Y406" s="880"/>
      <c r="Z406" s="880"/>
      <c r="AA406" s="880"/>
      <c r="AB406" s="880">
        <v>2015</v>
      </c>
      <c r="AC406" s="880"/>
      <c r="AD406" s="880"/>
      <c r="AE406" s="880"/>
      <c r="AF406" s="880"/>
      <c r="AG406" s="880"/>
      <c r="AH406" s="880"/>
      <c r="AI406" s="880"/>
      <c r="AJ406" s="880"/>
      <c r="AK406" s="880"/>
      <c r="AL406" s="880"/>
      <c r="AM406" s="880"/>
      <c r="AN406" s="880"/>
      <c r="AO406" s="880"/>
      <c r="AP406" s="880"/>
      <c r="AQ406" s="880"/>
      <c r="AR406" s="880"/>
      <c r="AS406" s="880"/>
      <c r="AT406" s="880"/>
      <c r="AU406" s="880"/>
      <c r="AV406" s="880"/>
      <c r="AW406" s="880"/>
      <c r="AX406" s="880"/>
      <c r="AY406" s="880"/>
      <c r="AZ406" s="880"/>
      <c r="BA406" s="880"/>
      <c r="BB406" s="880">
        <v>2016</v>
      </c>
      <c r="BC406" s="880"/>
      <c r="BD406" s="880"/>
      <c r="BE406" s="880"/>
      <c r="BF406" s="880"/>
      <c r="BG406" s="880"/>
      <c r="BH406" s="880"/>
      <c r="BI406" s="880"/>
      <c r="BJ406" s="880"/>
      <c r="BK406" s="880"/>
      <c r="BL406" s="880"/>
      <c r="BM406" s="880"/>
      <c r="BN406" s="880"/>
      <c r="BO406" s="880"/>
      <c r="BP406" s="880"/>
      <c r="BQ406" s="880"/>
      <c r="BR406" s="880"/>
      <c r="BS406" s="880"/>
      <c r="BT406" s="880"/>
      <c r="BU406" s="880"/>
      <c r="BV406" s="880"/>
      <c r="BW406" s="880"/>
      <c r="BX406" s="880"/>
      <c r="BY406" s="880"/>
      <c r="BZ406" s="880"/>
      <c r="CA406" s="880"/>
      <c r="CB406" s="880">
        <v>2017</v>
      </c>
      <c r="CC406" s="880"/>
      <c r="CD406" s="880"/>
      <c r="CE406" s="880"/>
      <c r="CF406" s="880"/>
      <c r="CG406" s="880"/>
      <c r="CH406" s="880"/>
      <c r="CI406" s="880"/>
      <c r="CJ406" s="880"/>
      <c r="CK406" s="880"/>
      <c r="CL406" s="880"/>
      <c r="CM406" s="880"/>
      <c r="CN406" s="880"/>
      <c r="CO406" s="880"/>
      <c r="CP406" s="880"/>
      <c r="CQ406" s="880"/>
      <c r="CR406" s="880"/>
      <c r="CS406" s="880"/>
      <c r="CT406" s="880"/>
      <c r="CU406" s="880"/>
      <c r="CV406" s="880"/>
      <c r="CW406" s="880"/>
      <c r="CX406" s="880"/>
      <c r="CY406" s="880"/>
      <c r="CZ406" s="880"/>
      <c r="DA406" s="880"/>
      <c r="DB406" s="880">
        <v>2018</v>
      </c>
      <c r="DC406" s="880"/>
      <c r="DD406" s="880"/>
      <c r="DE406" s="880"/>
      <c r="DF406" s="880"/>
      <c r="DG406" s="880"/>
      <c r="DH406" s="880"/>
      <c r="DI406" s="880"/>
      <c r="DJ406" s="880"/>
      <c r="DK406" s="880"/>
      <c r="DL406" s="880"/>
      <c r="DM406" s="880"/>
      <c r="DN406" s="880"/>
      <c r="DO406" s="880"/>
      <c r="DP406" s="880"/>
      <c r="DQ406" s="880"/>
      <c r="DR406" s="880"/>
      <c r="DS406" s="880"/>
      <c r="DT406" s="880"/>
      <c r="DU406" s="880"/>
      <c r="DV406" s="880"/>
      <c r="DW406" s="880"/>
      <c r="DX406" s="880"/>
      <c r="DY406" s="880"/>
      <c r="DZ406" s="880"/>
      <c r="EA406" s="880"/>
      <c r="EB406" s="880">
        <v>2019</v>
      </c>
      <c r="EC406" s="880"/>
      <c r="ED406" s="880"/>
      <c r="EE406" s="880"/>
      <c r="EF406" s="880"/>
      <c r="EG406" s="880"/>
      <c r="EH406" s="880"/>
      <c r="EI406" s="880"/>
      <c r="EJ406" s="880"/>
      <c r="EK406" s="880"/>
      <c r="EL406" s="880"/>
      <c r="EM406" s="880"/>
      <c r="EN406" s="880"/>
      <c r="EO406" s="880"/>
      <c r="EP406" s="880"/>
      <c r="EQ406" s="880"/>
      <c r="ER406" s="880"/>
      <c r="ES406" s="880"/>
      <c r="ET406" s="880"/>
      <c r="EU406" s="880"/>
      <c r="EV406" s="880"/>
      <c r="EW406" s="880"/>
      <c r="EX406" s="880"/>
      <c r="EY406" s="880"/>
      <c r="EZ406" s="880"/>
      <c r="FA406" s="880"/>
      <c r="FB406" s="880">
        <v>2020</v>
      </c>
      <c r="FC406" s="880"/>
      <c r="FD406" s="880"/>
      <c r="FE406" s="880"/>
      <c r="FF406" s="880"/>
      <c r="FG406" s="880"/>
      <c r="FH406" s="880"/>
      <c r="FI406" s="880"/>
      <c r="FJ406" s="880"/>
      <c r="FK406" s="880"/>
      <c r="FL406" s="880"/>
      <c r="FM406" s="880"/>
      <c r="FN406" s="880"/>
      <c r="FO406" s="880"/>
      <c r="FP406" s="880"/>
      <c r="FQ406" s="880"/>
      <c r="FR406" s="880"/>
      <c r="FS406" s="880"/>
      <c r="FT406" s="880"/>
      <c r="FU406" s="880"/>
      <c r="FV406" s="880"/>
      <c r="FW406" s="880"/>
      <c r="FX406" s="880"/>
      <c r="FY406" s="880"/>
      <c r="FZ406" s="880"/>
      <c r="GA406" s="880"/>
    </row>
    <row r="407" spans="1:183" ht="15.6" x14ac:dyDescent="0.25">
      <c r="A407" s="677" t="s">
        <v>3171</v>
      </c>
      <c r="B407" s="879" t="s">
        <v>3146</v>
      </c>
      <c r="C407" s="879"/>
      <c r="D407" s="879"/>
      <c r="E407" s="674"/>
      <c r="F407" s="674"/>
      <c r="G407" s="674"/>
      <c r="H407" s="674"/>
      <c r="I407" s="674"/>
      <c r="J407" s="674"/>
      <c r="K407" s="674"/>
      <c r="L407" s="674"/>
      <c r="M407" s="674"/>
      <c r="N407" s="674"/>
      <c r="O407" s="674"/>
      <c r="P407" s="674"/>
      <c r="Q407" s="674"/>
      <c r="R407" s="674"/>
      <c r="S407" s="674"/>
      <c r="T407" s="674"/>
      <c r="U407" s="674"/>
      <c r="V407" s="674"/>
      <c r="W407" s="674"/>
      <c r="X407" s="674"/>
      <c r="Y407" s="674"/>
      <c r="Z407" s="674"/>
      <c r="AA407" s="674"/>
      <c r="AB407" s="879" t="s">
        <v>3146</v>
      </c>
      <c r="AC407" s="879"/>
      <c r="AD407" s="879"/>
      <c r="AE407" s="674"/>
      <c r="AF407" s="674"/>
      <c r="AG407" s="674"/>
      <c r="AH407" s="674"/>
      <c r="AI407" s="674"/>
      <c r="AJ407" s="674"/>
      <c r="AK407" s="674"/>
      <c r="AL407" s="674"/>
      <c r="AM407" s="674"/>
      <c r="AN407" s="674"/>
      <c r="AO407" s="674"/>
      <c r="AP407" s="674"/>
      <c r="AQ407" s="674"/>
      <c r="AR407" s="674"/>
      <c r="AS407" s="674"/>
      <c r="AT407" s="674"/>
      <c r="AU407" s="674"/>
      <c r="AV407" s="674"/>
      <c r="AW407" s="674"/>
      <c r="AX407" s="674"/>
      <c r="AY407" s="674"/>
      <c r="AZ407" s="674"/>
      <c r="BA407" s="674"/>
      <c r="BB407" s="879" t="s">
        <v>3146</v>
      </c>
      <c r="BC407" s="879"/>
      <c r="BD407" s="879"/>
      <c r="BE407" s="674"/>
      <c r="BF407" s="674"/>
      <c r="BG407" s="674"/>
      <c r="BH407" s="674"/>
      <c r="BI407" s="674"/>
      <c r="BJ407" s="674"/>
      <c r="BK407" s="674"/>
      <c r="BL407" s="674"/>
      <c r="BM407" s="674"/>
      <c r="BN407" s="674"/>
      <c r="BO407" s="674"/>
      <c r="BP407" s="674"/>
      <c r="BQ407" s="674"/>
      <c r="BR407" s="674"/>
      <c r="BS407" s="674"/>
      <c r="BT407" s="674"/>
      <c r="BU407" s="674"/>
      <c r="BV407" s="674"/>
      <c r="BW407" s="674"/>
      <c r="BX407" s="674"/>
      <c r="BY407" s="674"/>
      <c r="BZ407" s="674"/>
      <c r="CA407" s="674"/>
      <c r="CB407" s="879" t="s">
        <v>3146</v>
      </c>
      <c r="CC407" s="879"/>
      <c r="CD407" s="879"/>
      <c r="CE407" s="674"/>
      <c r="CF407" s="674"/>
      <c r="CG407" s="674"/>
      <c r="CH407" s="674"/>
      <c r="CI407" s="674"/>
      <c r="CJ407" s="674"/>
      <c r="CK407" s="674"/>
      <c r="CL407" s="674"/>
      <c r="CM407" s="674"/>
      <c r="CN407" s="674"/>
      <c r="CO407" s="674"/>
      <c r="CP407" s="674"/>
      <c r="CQ407" s="674"/>
      <c r="CR407" s="674"/>
      <c r="CS407" s="674"/>
      <c r="CT407" s="674"/>
      <c r="CU407" s="674"/>
      <c r="CV407" s="674"/>
      <c r="CW407" s="674"/>
      <c r="CX407" s="674"/>
      <c r="CY407" s="674"/>
      <c r="CZ407" s="674"/>
      <c r="DA407" s="674"/>
      <c r="DB407" s="879" t="s">
        <v>3146</v>
      </c>
      <c r="DC407" s="879"/>
      <c r="DD407" s="879"/>
      <c r="DE407" s="674"/>
      <c r="DF407" s="674"/>
      <c r="DG407" s="674"/>
      <c r="DH407" s="674"/>
      <c r="DI407" s="674"/>
      <c r="DJ407" s="674"/>
      <c r="DK407" s="674"/>
      <c r="DL407" s="674"/>
      <c r="DM407" s="674"/>
      <c r="DN407" s="674"/>
      <c r="DO407" s="674"/>
      <c r="DP407" s="674"/>
      <c r="DQ407" s="674"/>
      <c r="DR407" s="674"/>
      <c r="DS407" s="674"/>
      <c r="DT407" s="674"/>
      <c r="DU407" s="674"/>
      <c r="DV407" s="674"/>
      <c r="DW407" s="674"/>
      <c r="DX407" s="674"/>
      <c r="DY407" s="674"/>
      <c r="DZ407" s="674"/>
      <c r="EA407" s="674"/>
      <c r="EB407" s="879" t="s">
        <v>3146</v>
      </c>
      <c r="EC407" s="879"/>
      <c r="ED407" s="879"/>
      <c r="EE407" s="674"/>
      <c r="EF407" s="674"/>
      <c r="EG407" s="674"/>
      <c r="EH407" s="674"/>
      <c r="EI407" s="674"/>
      <c r="EJ407" s="674"/>
      <c r="EK407" s="674"/>
      <c r="EL407" s="674"/>
      <c r="EM407" s="674"/>
      <c r="EN407" s="674"/>
      <c r="EO407" s="674"/>
      <c r="EP407" s="674"/>
      <c r="EQ407" s="674"/>
      <c r="ER407" s="674"/>
      <c r="ES407" s="674"/>
      <c r="ET407" s="674"/>
      <c r="EU407" s="674"/>
      <c r="EV407" s="674"/>
      <c r="EW407" s="674"/>
      <c r="EX407" s="674"/>
      <c r="EY407" s="674"/>
      <c r="EZ407" s="674"/>
      <c r="FA407" s="674"/>
      <c r="FB407" s="879" t="s">
        <v>3146</v>
      </c>
      <c r="FC407" s="879"/>
      <c r="FD407" s="879"/>
      <c r="FE407" s="674"/>
      <c r="FF407" s="674"/>
      <c r="FG407" s="674"/>
      <c r="FH407" s="674"/>
      <c r="FI407" s="674"/>
      <c r="FJ407" s="674"/>
      <c r="FK407" s="674"/>
      <c r="FL407" s="674"/>
      <c r="FM407" s="674"/>
      <c r="FN407" s="674"/>
      <c r="FO407" s="674"/>
      <c r="FP407" s="674"/>
      <c r="FQ407" s="674"/>
      <c r="FR407" s="674"/>
      <c r="FS407" s="674"/>
      <c r="FT407" s="674"/>
      <c r="FU407" s="674"/>
      <c r="FV407" s="674"/>
      <c r="FW407" s="674"/>
      <c r="FX407" s="674"/>
      <c r="FY407" s="674"/>
      <c r="FZ407" s="674"/>
      <c r="GA407" s="674"/>
    </row>
    <row r="408" spans="1:183" x14ac:dyDescent="0.25">
      <c r="A408" s="674"/>
      <c r="B408" s="675" t="s">
        <v>3147</v>
      </c>
      <c r="C408" s="675" t="s">
        <v>3148</v>
      </c>
      <c r="D408" s="675" t="s">
        <v>3149</v>
      </c>
      <c r="E408" s="675" t="s">
        <v>3150</v>
      </c>
      <c r="F408" s="675" t="s">
        <v>3151</v>
      </c>
      <c r="G408" s="675" t="s">
        <v>364</v>
      </c>
      <c r="H408" s="675" t="s">
        <v>3152</v>
      </c>
      <c r="I408" s="675" t="s">
        <v>3153</v>
      </c>
      <c r="J408" s="675" t="s">
        <v>3099</v>
      </c>
      <c r="K408" s="675" t="s">
        <v>3154</v>
      </c>
      <c r="L408" s="675" t="s">
        <v>3155</v>
      </c>
      <c r="M408" s="675" t="s">
        <v>3157</v>
      </c>
      <c r="N408" s="675" t="s">
        <v>3156</v>
      </c>
      <c r="O408" s="675" t="s">
        <v>3158</v>
      </c>
      <c r="P408" s="675" t="s">
        <v>3159</v>
      </c>
      <c r="Q408" s="675" t="s">
        <v>3160</v>
      </c>
      <c r="R408" s="675" t="s">
        <v>3120</v>
      </c>
      <c r="S408" s="675" t="s">
        <v>3117</v>
      </c>
      <c r="T408" s="675" t="s">
        <v>3119</v>
      </c>
      <c r="U408" s="675" t="s">
        <v>3161</v>
      </c>
      <c r="V408" s="675" t="s">
        <v>3162</v>
      </c>
      <c r="W408" s="675" t="s">
        <v>3163</v>
      </c>
      <c r="X408" s="675" t="s">
        <v>3164</v>
      </c>
      <c r="Y408" s="675" t="s">
        <v>3165</v>
      </c>
      <c r="Z408" s="675" t="s">
        <v>3166</v>
      </c>
      <c r="AA408" s="675" t="s">
        <v>3167</v>
      </c>
      <c r="AB408" s="675" t="s">
        <v>3147</v>
      </c>
      <c r="AC408" s="675" t="s">
        <v>3148</v>
      </c>
      <c r="AD408" s="675" t="s">
        <v>3149</v>
      </c>
      <c r="AE408" s="675" t="s">
        <v>3150</v>
      </c>
      <c r="AF408" s="675" t="s">
        <v>3151</v>
      </c>
      <c r="AG408" s="675" t="s">
        <v>364</v>
      </c>
      <c r="AH408" s="675" t="s">
        <v>3152</v>
      </c>
      <c r="AI408" s="675" t="s">
        <v>3153</v>
      </c>
      <c r="AJ408" s="675" t="s">
        <v>3099</v>
      </c>
      <c r="AK408" s="675" t="s">
        <v>3154</v>
      </c>
      <c r="AL408" s="675" t="s">
        <v>3155</v>
      </c>
      <c r="AM408" s="675" t="s">
        <v>3157</v>
      </c>
      <c r="AN408" s="675" t="s">
        <v>3156</v>
      </c>
      <c r="AO408" s="675" t="s">
        <v>3158</v>
      </c>
      <c r="AP408" s="675" t="s">
        <v>3159</v>
      </c>
      <c r="AQ408" s="675" t="s">
        <v>3160</v>
      </c>
      <c r="AR408" s="675" t="s">
        <v>3120</v>
      </c>
      <c r="AS408" s="675" t="s">
        <v>3117</v>
      </c>
      <c r="AT408" s="675" t="s">
        <v>3119</v>
      </c>
      <c r="AU408" s="675" t="s">
        <v>3161</v>
      </c>
      <c r="AV408" s="675" t="s">
        <v>3162</v>
      </c>
      <c r="AW408" s="675" t="s">
        <v>3163</v>
      </c>
      <c r="AX408" s="675" t="s">
        <v>3164</v>
      </c>
      <c r="AY408" s="675" t="s">
        <v>3165</v>
      </c>
      <c r="AZ408" s="675" t="s">
        <v>3166</v>
      </c>
      <c r="BA408" s="675" t="s">
        <v>3167</v>
      </c>
      <c r="BB408" s="675" t="s">
        <v>3147</v>
      </c>
      <c r="BC408" s="675" t="s">
        <v>3148</v>
      </c>
      <c r="BD408" s="675" t="s">
        <v>3149</v>
      </c>
      <c r="BE408" s="675" t="s">
        <v>3150</v>
      </c>
      <c r="BF408" s="675" t="s">
        <v>3151</v>
      </c>
      <c r="BG408" s="675" t="s">
        <v>364</v>
      </c>
      <c r="BH408" s="675" t="s">
        <v>3152</v>
      </c>
      <c r="BI408" s="675" t="s">
        <v>3153</v>
      </c>
      <c r="BJ408" s="675" t="s">
        <v>3099</v>
      </c>
      <c r="BK408" s="675" t="s">
        <v>3154</v>
      </c>
      <c r="BL408" s="675" t="s">
        <v>3155</v>
      </c>
      <c r="BM408" s="675" t="s">
        <v>3157</v>
      </c>
      <c r="BN408" s="675" t="s">
        <v>3156</v>
      </c>
      <c r="BO408" s="675" t="s">
        <v>3158</v>
      </c>
      <c r="BP408" s="675" t="s">
        <v>3159</v>
      </c>
      <c r="BQ408" s="675" t="s">
        <v>3160</v>
      </c>
      <c r="BR408" s="675" t="s">
        <v>3120</v>
      </c>
      <c r="BS408" s="675" t="s">
        <v>3117</v>
      </c>
      <c r="BT408" s="675" t="s">
        <v>3119</v>
      </c>
      <c r="BU408" s="675" t="s">
        <v>3161</v>
      </c>
      <c r="BV408" s="675" t="s">
        <v>3162</v>
      </c>
      <c r="BW408" s="675" t="s">
        <v>3163</v>
      </c>
      <c r="BX408" s="675" t="s">
        <v>3164</v>
      </c>
      <c r="BY408" s="675" t="s">
        <v>3165</v>
      </c>
      <c r="BZ408" s="675" t="s">
        <v>3166</v>
      </c>
      <c r="CA408" s="675" t="s">
        <v>3167</v>
      </c>
      <c r="CB408" s="675" t="s">
        <v>3147</v>
      </c>
      <c r="CC408" s="675" t="s">
        <v>3148</v>
      </c>
      <c r="CD408" s="675" t="s">
        <v>3149</v>
      </c>
      <c r="CE408" s="675" t="s">
        <v>3150</v>
      </c>
      <c r="CF408" s="675" t="s">
        <v>3151</v>
      </c>
      <c r="CG408" s="675" t="s">
        <v>364</v>
      </c>
      <c r="CH408" s="675" t="s">
        <v>3152</v>
      </c>
      <c r="CI408" s="675" t="s">
        <v>3153</v>
      </c>
      <c r="CJ408" s="675" t="s">
        <v>3099</v>
      </c>
      <c r="CK408" s="675" t="s">
        <v>3154</v>
      </c>
      <c r="CL408" s="675" t="s">
        <v>3155</v>
      </c>
      <c r="CM408" s="675" t="s">
        <v>3157</v>
      </c>
      <c r="CN408" s="675" t="s">
        <v>3156</v>
      </c>
      <c r="CO408" s="675" t="s">
        <v>3158</v>
      </c>
      <c r="CP408" s="675" t="s">
        <v>3159</v>
      </c>
      <c r="CQ408" s="675" t="s">
        <v>3160</v>
      </c>
      <c r="CR408" s="675" t="s">
        <v>3120</v>
      </c>
      <c r="CS408" s="675" t="s">
        <v>3117</v>
      </c>
      <c r="CT408" s="675" t="s">
        <v>3119</v>
      </c>
      <c r="CU408" s="675" t="s">
        <v>3161</v>
      </c>
      <c r="CV408" s="675" t="s">
        <v>3162</v>
      </c>
      <c r="CW408" s="675" t="s">
        <v>3163</v>
      </c>
      <c r="CX408" s="675" t="s">
        <v>3164</v>
      </c>
      <c r="CY408" s="675" t="s">
        <v>3165</v>
      </c>
      <c r="CZ408" s="675" t="s">
        <v>3166</v>
      </c>
      <c r="DA408" s="675" t="s">
        <v>3167</v>
      </c>
      <c r="DB408" s="675" t="s">
        <v>3147</v>
      </c>
      <c r="DC408" s="675" t="s">
        <v>3148</v>
      </c>
      <c r="DD408" s="675" t="s">
        <v>3149</v>
      </c>
      <c r="DE408" s="675" t="s">
        <v>3150</v>
      </c>
      <c r="DF408" s="675" t="s">
        <v>3151</v>
      </c>
      <c r="DG408" s="675" t="s">
        <v>364</v>
      </c>
      <c r="DH408" s="675" t="s">
        <v>3152</v>
      </c>
      <c r="DI408" s="675" t="s">
        <v>3153</v>
      </c>
      <c r="DJ408" s="675" t="s">
        <v>3099</v>
      </c>
      <c r="DK408" s="675" t="s">
        <v>3154</v>
      </c>
      <c r="DL408" s="675" t="s">
        <v>3155</v>
      </c>
      <c r="DM408" s="675" t="s">
        <v>3157</v>
      </c>
      <c r="DN408" s="675" t="s">
        <v>3156</v>
      </c>
      <c r="DO408" s="675" t="s">
        <v>3158</v>
      </c>
      <c r="DP408" s="675" t="s">
        <v>3159</v>
      </c>
      <c r="DQ408" s="675" t="s">
        <v>3160</v>
      </c>
      <c r="DR408" s="675" t="s">
        <v>3120</v>
      </c>
      <c r="DS408" s="675" t="s">
        <v>3117</v>
      </c>
      <c r="DT408" s="675" t="s">
        <v>3119</v>
      </c>
      <c r="DU408" s="675" t="s">
        <v>3161</v>
      </c>
      <c r="DV408" s="675" t="s">
        <v>3162</v>
      </c>
      <c r="DW408" s="675" t="s">
        <v>3163</v>
      </c>
      <c r="DX408" s="675" t="s">
        <v>3164</v>
      </c>
      <c r="DY408" s="675" t="s">
        <v>3165</v>
      </c>
      <c r="DZ408" s="675" t="s">
        <v>3166</v>
      </c>
      <c r="EA408" s="675" t="s">
        <v>3167</v>
      </c>
      <c r="EB408" s="675" t="s">
        <v>3147</v>
      </c>
      <c r="EC408" s="675" t="s">
        <v>3148</v>
      </c>
      <c r="ED408" s="675" t="s">
        <v>3149</v>
      </c>
      <c r="EE408" s="675" t="s">
        <v>3150</v>
      </c>
      <c r="EF408" s="675" t="s">
        <v>3151</v>
      </c>
      <c r="EG408" s="675" t="s">
        <v>364</v>
      </c>
      <c r="EH408" s="675" t="s">
        <v>3152</v>
      </c>
      <c r="EI408" s="675" t="s">
        <v>3153</v>
      </c>
      <c r="EJ408" s="675" t="s">
        <v>3099</v>
      </c>
      <c r="EK408" s="675" t="s">
        <v>3154</v>
      </c>
      <c r="EL408" s="675" t="s">
        <v>3155</v>
      </c>
      <c r="EM408" s="675" t="s">
        <v>3157</v>
      </c>
      <c r="EN408" s="675" t="s">
        <v>3156</v>
      </c>
      <c r="EO408" s="675" t="s">
        <v>3158</v>
      </c>
      <c r="EP408" s="675" t="s">
        <v>3159</v>
      </c>
      <c r="EQ408" s="675" t="s">
        <v>3160</v>
      </c>
      <c r="ER408" s="675" t="s">
        <v>3120</v>
      </c>
      <c r="ES408" s="675" t="s">
        <v>3117</v>
      </c>
      <c r="ET408" s="675" t="s">
        <v>3119</v>
      </c>
      <c r="EU408" s="675" t="s">
        <v>3161</v>
      </c>
      <c r="EV408" s="675" t="s">
        <v>3162</v>
      </c>
      <c r="EW408" s="675" t="s">
        <v>3163</v>
      </c>
      <c r="EX408" s="675" t="s">
        <v>3164</v>
      </c>
      <c r="EY408" s="675" t="s">
        <v>3165</v>
      </c>
      <c r="EZ408" s="675" t="s">
        <v>3166</v>
      </c>
      <c r="FA408" s="675" t="s">
        <v>3167</v>
      </c>
      <c r="FB408" s="675" t="s">
        <v>3147</v>
      </c>
      <c r="FC408" s="675" t="s">
        <v>3148</v>
      </c>
      <c r="FD408" s="675" t="s">
        <v>3149</v>
      </c>
      <c r="FE408" s="675" t="s">
        <v>3150</v>
      </c>
      <c r="FF408" s="675" t="s">
        <v>3151</v>
      </c>
      <c r="FG408" s="675" t="s">
        <v>364</v>
      </c>
      <c r="FH408" s="675" t="s">
        <v>3152</v>
      </c>
      <c r="FI408" s="675" t="s">
        <v>3153</v>
      </c>
      <c r="FJ408" s="675" t="s">
        <v>3099</v>
      </c>
      <c r="FK408" s="675" t="s">
        <v>3154</v>
      </c>
      <c r="FL408" s="675" t="s">
        <v>3155</v>
      </c>
      <c r="FM408" s="675" t="s">
        <v>3157</v>
      </c>
      <c r="FN408" s="675" t="s">
        <v>3156</v>
      </c>
      <c r="FO408" s="675" t="s">
        <v>3158</v>
      </c>
      <c r="FP408" s="675" t="s">
        <v>3159</v>
      </c>
      <c r="FQ408" s="675" t="s">
        <v>3160</v>
      </c>
      <c r="FR408" s="675" t="s">
        <v>3120</v>
      </c>
      <c r="FS408" s="675" t="s">
        <v>3117</v>
      </c>
      <c r="FT408" s="675" t="s">
        <v>3119</v>
      </c>
      <c r="FU408" s="675" t="s">
        <v>3161</v>
      </c>
      <c r="FV408" s="675" t="s">
        <v>3162</v>
      </c>
      <c r="FW408" s="675" t="s">
        <v>3163</v>
      </c>
      <c r="FX408" s="675" t="s">
        <v>3164</v>
      </c>
      <c r="FY408" s="675" t="s">
        <v>3165</v>
      </c>
      <c r="FZ408" s="675" t="s">
        <v>3166</v>
      </c>
      <c r="GA408" s="675" t="s">
        <v>3167</v>
      </c>
    </row>
    <row r="409" spans="1:183" ht="15.6" x14ac:dyDescent="0.3">
      <c r="A409" s="676" t="s">
        <v>412</v>
      </c>
    </row>
    <row r="410" spans="1:183" ht="15.6" x14ac:dyDescent="0.3">
      <c r="A410" s="676" t="s">
        <v>2986</v>
      </c>
    </row>
    <row r="411" spans="1:183" ht="15.6" x14ac:dyDescent="0.3">
      <c r="A411" s="676" t="s">
        <v>2987</v>
      </c>
    </row>
    <row r="412" spans="1:183" ht="15.6" x14ac:dyDescent="0.3">
      <c r="A412" s="676" t="s">
        <v>2988</v>
      </c>
    </row>
    <row r="413" spans="1:183" ht="15.6" x14ac:dyDescent="0.3">
      <c r="A413" s="676" t="s">
        <v>2989</v>
      </c>
    </row>
    <row r="414" spans="1:183" ht="15.6" x14ac:dyDescent="0.3">
      <c r="A414" s="676" t="s">
        <v>2990</v>
      </c>
    </row>
    <row r="415" spans="1:183" ht="15.6" x14ac:dyDescent="0.3">
      <c r="A415" s="676" t="s">
        <v>2991</v>
      </c>
    </row>
    <row r="416" spans="1:183" ht="15.6" x14ac:dyDescent="0.3">
      <c r="A416" s="676" t="s">
        <v>2992</v>
      </c>
    </row>
    <row r="417" spans="1:1" ht="15.6" x14ac:dyDescent="0.3">
      <c r="A417" s="676" t="s">
        <v>2993</v>
      </c>
    </row>
    <row r="418" spans="1:1" ht="15.6" x14ac:dyDescent="0.3">
      <c r="A418" s="676" t="s">
        <v>2994</v>
      </c>
    </row>
    <row r="419" spans="1:1" ht="15.6" x14ac:dyDescent="0.3">
      <c r="A419" s="676" t="s">
        <v>2995</v>
      </c>
    </row>
    <row r="420" spans="1:1" ht="15.6" x14ac:dyDescent="0.3">
      <c r="A420" s="676" t="s">
        <v>2996</v>
      </c>
    </row>
    <row r="421" spans="1:1" ht="15.6" x14ac:dyDescent="0.3">
      <c r="A421" s="676" t="s">
        <v>2997</v>
      </c>
    </row>
    <row r="422" spans="1:1" ht="15.6" x14ac:dyDescent="0.3">
      <c r="A422" s="676" t="s">
        <v>2998</v>
      </c>
    </row>
    <row r="423" spans="1:1" ht="15.6" x14ac:dyDescent="0.3">
      <c r="A423" s="676" t="s">
        <v>2999</v>
      </c>
    </row>
    <row r="424" spans="1:1" ht="15.6" x14ac:dyDescent="0.3">
      <c r="A424" s="676" t="s">
        <v>3000</v>
      </c>
    </row>
    <row r="425" spans="1:1" ht="15.6" x14ac:dyDescent="0.3">
      <c r="A425" s="676" t="s">
        <v>3001</v>
      </c>
    </row>
    <row r="426" spans="1:1" ht="15.6" x14ac:dyDescent="0.3">
      <c r="A426" s="676" t="s">
        <v>3002</v>
      </c>
    </row>
    <row r="427" spans="1:1" ht="15.6" x14ac:dyDescent="0.3">
      <c r="A427" s="676" t="s">
        <v>3003</v>
      </c>
    </row>
    <row r="428" spans="1:1" ht="15.6" x14ac:dyDescent="0.3">
      <c r="A428" s="676" t="s">
        <v>3004</v>
      </c>
    </row>
    <row r="429" spans="1:1" ht="15.6" x14ac:dyDescent="0.3">
      <c r="A429" s="676" t="s">
        <v>3005</v>
      </c>
    </row>
    <row r="430" spans="1:1" ht="15.6" x14ac:dyDescent="0.3">
      <c r="A430" s="676" t="s">
        <v>3006</v>
      </c>
    </row>
    <row r="431" spans="1:1" ht="15.6" x14ac:dyDescent="0.3">
      <c r="A431" s="676" t="s">
        <v>3007</v>
      </c>
    </row>
    <row r="432" spans="1:1" ht="15.6" x14ac:dyDescent="0.3">
      <c r="A432" s="676" t="s">
        <v>3008</v>
      </c>
    </row>
    <row r="433" spans="1:1" ht="15.6" x14ac:dyDescent="0.3">
      <c r="A433" s="676" t="s">
        <v>3009</v>
      </c>
    </row>
    <row r="434" spans="1:1" ht="15.6" x14ac:dyDescent="0.3">
      <c r="A434" s="676" t="s">
        <v>3010</v>
      </c>
    </row>
    <row r="435" spans="1:1" ht="15.6" x14ac:dyDescent="0.3">
      <c r="A435" s="676" t="s">
        <v>3011</v>
      </c>
    </row>
    <row r="436" spans="1:1" ht="15.6" x14ac:dyDescent="0.3">
      <c r="A436" s="676" t="s">
        <v>3012</v>
      </c>
    </row>
    <row r="437" spans="1:1" ht="15.6" x14ac:dyDescent="0.3">
      <c r="A437" s="676" t="s">
        <v>3013</v>
      </c>
    </row>
    <row r="438" spans="1:1" ht="15.6" x14ac:dyDescent="0.3">
      <c r="A438" s="676" t="s">
        <v>3014</v>
      </c>
    </row>
    <row r="439" spans="1:1" ht="15.6" x14ac:dyDescent="0.3">
      <c r="A439" s="676" t="s">
        <v>3015</v>
      </c>
    </row>
    <row r="440" spans="1:1" ht="15.6" x14ac:dyDescent="0.3">
      <c r="A440" s="676" t="s">
        <v>3016</v>
      </c>
    </row>
    <row r="441" spans="1:1" ht="15.6" x14ac:dyDescent="0.3">
      <c r="A441" s="676" t="s">
        <v>3017</v>
      </c>
    </row>
    <row r="442" spans="1:1" ht="15.6" x14ac:dyDescent="0.3">
      <c r="A442" s="676" t="s">
        <v>3018</v>
      </c>
    </row>
    <row r="443" spans="1:1" ht="15.6" x14ac:dyDescent="0.3">
      <c r="A443" s="676" t="s">
        <v>3019</v>
      </c>
    </row>
    <row r="444" spans="1:1" ht="15.6" x14ac:dyDescent="0.3">
      <c r="A444" s="676" t="s">
        <v>3020</v>
      </c>
    </row>
    <row r="445" spans="1:1" ht="15.6" x14ac:dyDescent="0.3">
      <c r="A445" s="676" t="s">
        <v>3021</v>
      </c>
    </row>
    <row r="446" spans="1:1" ht="15.6" x14ac:dyDescent="0.3">
      <c r="A446" s="676" t="s">
        <v>3022</v>
      </c>
    </row>
    <row r="447" spans="1:1" ht="15.6" x14ac:dyDescent="0.3">
      <c r="A447" s="676" t="s">
        <v>3023</v>
      </c>
    </row>
    <row r="448" spans="1:1" ht="15.6" x14ac:dyDescent="0.3">
      <c r="A448" s="676" t="s">
        <v>3024</v>
      </c>
    </row>
    <row r="449" spans="1:1" ht="15.6" x14ac:dyDescent="0.3">
      <c r="A449" s="676" t="s">
        <v>3025</v>
      </c>
    </row>
    <row r="450" spans="1:1" ht="15.6" x14ac:dyDescent="0.3">
      <c r="A450" s="676" t="s">
        <v>3026</v>
      </c>
    </row>
    <row r="451" spans="1:1" ht="15.6" x14ac:dyDescent="0.3">
      <c r="A451" s="676" t="s">
        <v>3027</v>
      </c>
    </row>
    <row r="452" spans="1:1" ht="15.6" x14ac:dyDescent="0.3">
      <c r="A452" s="676" t="s">
        <v>3028</v>
      </c>
    </row>
    <row r="453" spans="1:1" ht="15.6" x14ac:dyDescent="0.3">
      <c r="A453" s="676" t="s">
        <v>3029</v>
      </c>
    </row>
    <row r="454" spans="1:1" ht="15.6" x14ac:dyDescent="0.3">
      <c r="A454" s="676" t="s">
        <v>3030</v>
      </c>
    </row>
    <row r="455" spans="1:1" ht="15.6" x14ac:dyDescent="0.3">
      <c r="A455" s="676" t="s">
        <v>3031</v>
      </c>
    </row>
    <row r="456" spans="1:1" ht="15.6" x14ac:dyDescent="0.3">
      <c r="A456" s="676" t="s">
        <v>3032</v>
      </c>
    </row>
    <row r="457" spans="1:1" ht="15.6" x14ac:dyDescent="0.3">
      <c r="A457" s="676" t="s">
        <v>3033</v>
      </c>
    </row>
    <row r="458" spans="1:1" ht="15.6" x14ac:dyDescent="0.3">
      <c r="A458" s="676" t="s">
        <v>3034</v>
      </c>
    </row>
    <row r="459" spans="1:1" ht="15.6" x14ac:dyDescent="0.3">
      <c r="A459" s="676" t="s">
        <v>3035</v>
      </c>
    </row>
    <row r="460" spans="1:1" ht="15.6" x14ac:dyDescent="0.3">
      <c r="A460" s="676" t="s">
        <v>3036</v>
      </c>
    </row>
    <row r="461" spans="1:1" ht="15.6" x14ac:dyDescent="0.3">
      <c r="A461" s="676" t="s">
        <v>3037</v>
      </c>
    </row>
    <row r="462" spans="1:1" ht="15.6" x14ac:dyDescent="0.3">
      <c r="A462" s="676" t="s">
        <v>3038</v>
      </c>
    </row>
    <row r="463" spans="1:1" ht="15.6" x14ac:dyDescent="0.3">
      <c r="A463" s="676" t="s">
        <v>3039</v>
      </c>
    </row>
    <row r="464" spans="1:1" ht="15.6" x14ac:dyDescent="0.3">
      <c r="A464" s="676" t="s">
        <v>3040</v>
      </c>
    </row>
    <row r="465" spans="1:1" ht="15.6" x14ac:dyDescent="0.3">
      <c r="A465" s="676" t="s">
        <v>3041</v>
      </c>
    </row>
    <row r="466" spans="1:1" ht="15.6" x14ac:dyDescent="0.3">
      <c r="A466" s="676" t="s">
        <v>3042</v>
      </c>
    </row>
    <row r="467" spans="1:1" ht="15.6" x14ac:dyDescent="0.3">
      <c r="A467" s="676" t="s">
        <v>3043</v>
      </c>
    </row>
    <row r="468" spans="1:1" ht="15.6" x14ac:dyDescent="0.3">
      <c r="A468" s="676" t="s">
        <v>3044</v>
      </c>
    </row>
    <row r="469" spans="1:1" ht="15.6" x14ac:dyDescent="0.3">
      <c r="A469" s="676" t="s">
        <v>3045</v>
      </c>
    </row>
    <row r="470" spans="1:1" ht="15.6" x14ac:dyDescent="0.3">
      <c r="A470" s="676" t="s">
        <v>3046</v>
      </c>
    </row>
    <row r="471" spans="1:1" ht="15.6" x14ac:dyDescent="0.3">
      <c r="A471" s="676" t="s">
        <v>3047</v>
      </c>
    </row>
    <row r="472" spans="1:1" ht="15.6" x14ac:dyDescent="0.3">
      <c r="A472" s="676" t="s">
        <v>3048</v>
      </c>
    </row>
    <row r="473" spans="1:1" ht="15.6" x14ac:dyDescent="0.3">
      <c r="A473" s="676" t="s">
        <v>3049</v>
      </c>
    </row>
    <row r="474" spans="1:1" ht="15.6" x14ac:dyDescent="0.3">
      <c r="A474" s="676" t="s">
        <v>3050</v>
      </c>
    </row>
    <row r="475" spans="1:1" ht="15.6" x14ac:dyDescent="0.3">
      <c r="A475" s="676" t="s">
        <v>3051</v>
      </c>
    </row>
    <row r="476" spans="1:1" ht="15.6" x14ac:dyDescent="0.3">
      <c r="A476" s="676" t="s">
        <v>3052</v>
      </c>
    </row>
    <row r="477" spans="1:1" ht="15.6" x14ac:dyDescent="0.3">
      <c r="A477" s="676" t="s">
        <v>3053</v>
      </c>
    </row>
    <row r="478" spans="1:1" ht="15.6" x14ac:dyDescent="0.3">
      <c r="A478" s="676" t="s">
        <v>3054</v>
      </c>
    </row>
    <row r="479" spans="1:1" ht="15.6" x14ac:dyDescent="0.3">
      <c r="A479" s="676" t="s">
        <v>3055</v>
      </c>
    </row>
    <row r="480" spans="1:1" ht="15.6" x14ac:dyDescent="0.3">
      <c r="A480" s="676" t="s">
        <v>3056</v>
      </c>
    </row>
    <row r="481" spans="1:1" ht="15.6" x14ac:dyDescent="0.3">
      <c r="A481" s="676" t="s">
        <v>3057</v>
      </c>
    </row>
    <row r="482" spans="1:1" ht="15.6" x14ac:dyDescent="0.3">
      <c r="A482" s="676" t="s">
        <v>3058</v>
      </c>
    </row>
    <row r="483" spans="1:1" ht="15.6" x14ac:dyDescent="0.3">
      <c r="A483" s="676" t="s">
        <v>3059</v>
      </c>
    </row>
    <row r="484" spans="1:1" ht="15.6" x14ac:dyDescent="0.3">
      <c r="A484" s="676" t="s">
        <v>3060</v>
      </c>
    </row>
    <row r="485" spans="1:1" ht="15.6" x14ac:dyDescent="0.3">
      <c r="A485" s="676" t="s">
        <v>3061</v>
      </c>
    </row>
    <row r="486" spans="1:1" ht="15.6" x14ac:dyDescent="0.3">
      <c r="A486" s="676" t="s">
        <v>3062</v>
      </c>
    </row>
    <row r="487" spans="1:1" ht="15.6" x14ac:dyDescent="0.3">
      <c r="A487" s="676" t="s">
        <v>3063</v>
      </c>
    </row>
    <row r="488" spans="1:1" ht="15.6" x14ac:dyDescent="0.3">
      <c r="A488" s="676" t="s">
        <v>3064</v>
      </c>
    </row>
    <row r="489" spans="1:1" ht="15.6" x14ac:dyDescent="0.3">
      <c r="A489" s="676" t="s">
        <v>3065</v>
      </c>
    </row>
    <row r="490" spans="1:1" ht="15.6" x14ac:dyDescent="0.3">
      <c r="A490" s="676" t="s">
        <v>3066</v>
      </c>
    </row>
    <row r="491" spans="1:1" ht="15.6" x14ac:dyDescent="0.3">
      <c r="A491" s="676" t="s">
        <v>3067</v>
      </c>
    </row>
    <row r="492" spans="1:1" ht="15.6" x14ac:dyDescent="0.3">
      <c r="A492" s="676" t="s">
        <v>3068</v>
      </c>
    </row>
    <row r="493" spans="1:1" ht="15.6" x14ac:dyDescent="0.3">
      <c r="A493" s="676" t="s">
        <v>3069</v>
      </c>
    </row>
    <row r="494" spans="1:1" ht="15.6" x14ac:dyDescent="0.3">
      <c r="A494" s="676" t="s">
        <v>3070</v>
      </c>
    </row>
    <row r="495" spans="1:1" ht="15.6" x14ac:dyDescent="0.3">
      <c r="A495" s="676" t="s">
        <v>3071</v>
      </c>
    </row>
    <row r="496" spans="1:1" ht="15.6" x14ac:dyDescent="0.3">
      <c r="A496" s="676" t="s">
        <v>3072</v>
      </c>
    </row>
    <row r="497" spans="1:183" ht="15.6" x14ac:dyDescent="0.3">
      <c r="A497" s="676" t="s">
        <v>3073</v>
      </c>
    </row>
    <row r="498" spans="1:183" ht="15.6" x14ac:dyDescent="0.3">
      <c r="A498" s="676" t="s">
        <v>3074</v>
      </c>
    </row>
    <row r="499" spans="1:183" ht="15.6" x14ac:dyDescent="0.3">
      <c r="A499" s="676" t="s">
        <v>3075</v>
      </c>
    </row>
    <row r="500" spans="1:183" ht="15.6" x14ac:dyDescent="0.3">
      <c r="A500" s="676" t="s">
        <v>3076</v>
      </c>
    </row>
    <row r="501" spans="1:183" ht="15.6" x14ac:dyDescent="0.3">
      <c r="A501" s="676" t="s">
        <v>3077</v>
      </c>
    </row>
    <row r="502" spans="1:183" ht="15.6" x14ac:dyDescent="0.3">
      <c r="A502" s="676" t="s">
        <v>3078</v>
      </c>
    </row>
    <row r="506" spans="1:183" x14ac:dyDescent="0.25">
      <c r="B506" s="880">
        <v>2014</v>
      </c>
      <c r="C506" s="880"/>
      <c r="D506" s="880"/>
      <c r="E506" s="880"/>
      <c r="F506" s="880"/>
      <c r="G506" s="880"/>
      <c r="H506" s="880"/>
      <c r="I506" s="880"/>
      <c r="J506" s="880"/>
      <c r="K506" s="880"/>
      <c r="L506" s="880"/>
      <c r="M506" s="880"/>
      <c r="N506" s="880"/>
      <c r="O506" s="880"/>
      <c r="P506" s="880"/>
      <c r="Q506" s="880"/>
      <c r="R506" s="880"/>
      <c r="S506" s="880"/>
      <c r="T506" s="880"/>
      <c r="U506" s="880"/>
      <c r="V506" s="880"/>
      <c r="W506" s="880"/>
      <c r="X506" s="880"/>
      <c r="Y506" s="880"/>
      <c r="Z506" s="880"/>
      <c r="AA506" s="880"/>
      <c r="AB506" s="880">
        <v>2015</v>
      </c>
      <c r="AC506" s="880"/>
      <c r="AD506" s="880"/>
      <c r="AE506" s="880"/>
      <c r="AF506" s="880"/>
      <c r="AG506" s="880"/>
      <c r="AH506" s="880"/>
      <c r="AI506" s="880"/>
      <c r="AJ506" s="880"/>
      <c r="AK506" s="880"/>
      <c r="AL506" s="880"/>
      <c r="AM506" s="880"/>
      <c r="AN506" s="880"/>
      <c r="AO506" s="880"/>
      <c r="AP506" s="880"/>
      <c r="AQ506" s="880"/>
      <c r="AR506" s="880"/>
      <c r="AS506" s="880"/>
      <c r="AT506" s="880"/>
      <c r="AU506" s="880"/>
      <c r="AV506" s="880"/>
      <c r="AW506" s="880"/>
      <c r="AX506" s="880"/>
      <c r="AY506" s="880"/>
      <c r="AZ506" s="880"/>
      <c r="BA506" s="880"/>
      <c r="BB506" s="880">
        <v>2016</v>
      </c>
      <c r="BC506" s="880"/>
      <c r="BD506" s="880"/>
      <c r="BE506" s="880"/>
      <c r="BF506" s="880"/>
      <c r="BG506" s="880"/>
      <c r="BH506" s="880"/>
      <c r="BI506" s="880"/>
      <c r="BJ506" s="880"/>
      <c r="BK506" s="880"/>
      <c r="BL506" s="880"/>
      <c r="BM506" s="880"/>
      <c r="BN506" s="880"/>
      <c r="BO506" s="880"/>
      <c r="BP506" s="880"/>
      <c r="BQ506" s="880"/>
      <c r="BR506" s="880"/>
      <c r="BS506" s="880"/>
      <c r="BT506" s="880"/>
      <c r="BU506" s="880"/>
      <c r="BV506" s="880"/>
      <c r="BW506" s="880"/>
      <c r="BX506" s="880"/>
      <c r="BY506" s="880"/>
      <c r="BZ506" s="880"/>
      <c r="CA506" s="880"/>
      <c r="CB506" s="880">
        <v>2017</v>
      </c>
      <c r="CC506" s="880"/>
      <c r="CD506" s="880"/>
      <c r="CE506" s="880"/>
      <c r="CF506" s="880"/>
      <c r="CG506" s="880"/>
      <c r="CH506" s="880"/>
      <c r="CI506" s="880"/>
      <c r="CJ506" s="880"/>
      <c r="CK506" s="880"/>
      <c r="CL506" s="880"/>
      <c r="CM506" s="880"/>
      <c r="CN506" s="880"/>
      <c r="CO506" s="880"/>
      <c r="CP506" s="880"/>
      <c r="CQ506" s="880"/>
      <c r="CR506" s="880"/>
      <c r="CS506" s="880"/>
      <c r="CT506" s="880"/>
      <c r="CU506" s="880"/>
      <c r="CV506" s="880"/>
      <c r="CW506" s="880"/>
      <c r="CX506" s="880"/>
      <c r="CY506" s="880"/>
      <c r="CZ506" s="880"/>
      <c r="DA506" s="880"/>
      <c r="DB506" s="880">
        <v>2018</v>
      </c>
      <c r="DC506" s="880"/>
      <c r="DD506" s="880"/>
      <c r="DE506" s="880"/>
      <c r="DF506" s="880"/>
      <c r="DG506" s="880"/>
      <c r="DH506" s="880"/>
      <c r="DI506" s="880"/>
      <c r="DJ506" s="880"/>
      <c r="DK506" s="880"/>
      <c r="DL506" s="880"/>
      <c r="DM506" s="880"/>
      <c r="DN506" s="880"/>
      <c r="DO506" s="880"/>
      <c r="DP506" s="880"/>
      <c r="DQ506" s="880"/>
      <c r="DR506" s="880"/>
      <c r="DS506" s="880"/>
      <c r="DT506" s="880"/>
      <c r="DU506" s="880"/>
      <c r="DV506" s="880"/>
      <c r="DW506" s="880"/>
      <c r="DX506" s="880"/>
      <c r="DY506" s="880"/>
      <c r="DZ506" s="880"/>
      <c r="EA506" s="880"/>
      <c r="EB506" s="880">
        <v>2019</v>
      </c>
      <c r="EC506" s="880"/>
      <c r="ED506" s="880"/>
      <c r="EE506" s="880"/>
      <c r="EF506" s="880"/>
      <c r="EG506" s="880"/>
      <c r="EH506" s="880"/>
      <c r="EI506" s="880"/>
      <c r="EJ506" s="880"/>
      <c r="EK506" s="880"/>
      <c r="EL506" s="880"/>
      <c r="EM506" s="880"/>
      <c r="EN506" s="880"/>
      <c r="EO506" s="880"/>
      <c r="EP506" s="880"/>
      <c r="EQ506" s="880"/>
      <c r="ER506" s="880"/>
      <c r="ES506" s="880"/>
      <c r="ET506" s="880"/>
      <c r="EU506" s="880"/>
      <c r="EV506" s="880"/>
      <c r="EW506" s="880"/>
      <c r="EX506" s="880"/>
      <c r="EY506" s="880"/>
      <c r="EZ506" s="880"/>
      <c r="FA506" s="880"/>
      <c r="FB506" s="880">
        <v>2020</v>
      </c>
      <c r="FC506" s="880"/>
      <c r="FD506" s="880"/>
      <c r="FE506" s="880"/>
      <c r="FF506" s="880"/>
      <c r="FG506" s="880"/>
      <c r="FH506" s="880"/>
      <c r="FI506" s="880"/>
      <c r="FJ506" s="880"/>
      <c r="FK506" s="880"/>
      <c r="FL506" s="880"/>
      <c r="FM506" s="880"/>
      <c r="FN506" s="880"/>
      <c r="FO506" s="880"/>
      <c r="FP506" s="880"/>
      <c r="FQ506" s="880"/>
      <c r="FR506" s="880"/>
      <c r="FS506" s="880"/>
      <c r="FT506" s="880"/>
      <c r="FU506" s="880"/>
      <c r="FV506" s="880"/>
      <c r="FW506" s="880"/>
      <c r="FX506" s="880"/>
      <c r="FY506" s="880"/>
      <c r="FZ506" s="880"/>
      <c r="GA506" s="880"/>
    </row>
    <row r="507" spans="1:183" ht="15.6" x14ac:dyDescent="0.25">
      <c r="A507" s="677" t="s">
        <v>3170</v>
      </c>
      <c r="B507" s="879" t="s">
        <v>3146</v>
      </c>
      <c r="C507" s="879"/>
      <c r="D507" s="879"/>
      <c r="E507" s="674"/>
      <c r="F507" s="674"/>
      <c r="G507" s="674"/>
      <c r="H507" s="674"/>
      <c r="I507" s="674"/>
      <c r="J507" s="674"/>
      <c r="K507" s="674"/>
      <c r="L507" s="674"/>
      <c r="M507" s="674"/>
      <c r="N507" s="674"/>
      <c r="O507" s="674"/>
      <c r="P507" s="674"/>
      <c r="Q507" s="674"/>
      <c r="R507" s="674"/>
      <c r="S507" s="674"/>
      <c r="T507" s="674"/>
      <c r="U507" s="674"/>
      <c r="V507" s="674"/>
      <c r="W507" s="674"/>
      <c r="X507" s="674"/>
      <c r="Y507" s="674"/>
      <c r="Z507" s="674"/>
      <c r="AA507" s="674"/>
      <c r="AB507" s="879" t="s">
        <v>3146</v>
      </c>
      <c r="AC507" s="879"/>
      <c r="AD507" s="879"/>
      <c r="AE507" s="674"/>
      <c r="AF507" s="674"/>
      <c r="AG507" s="674"/>
      <c r="AH507" s="674"/>
      <c r="AI507" s="674"/>
      <c r="AJ507" s="674"/>
      <c r="AK507" s="674"/>
      <c r="AL507" s="674"/>
      <c r="AM507" s="674"/>
      <c r="AN507" s="674"/>
      <c r="AO507" s="674"/>
      <c r="AP507" s="674"/>
      <c r="AQ507" s="674"/>
      <c r="AR507" s="674"/>
      <c r="AS507" s="674"/>
      <c r="AT507" s="674"/>
      <c r="AU507" s="674"/>
      <c r="AV507" s="674"/>
      <c r="AW507" s="674"/>
      <c r="AX507" s="674"/>
      <c r="AY507" s="674"/>
      <c r="AZ507" s="674"/>
      <c r="BA507" s="674"/>
      <c r="BB507" s="879" t="s">
        <v>3146</v>
      </c>
      <c r="BC507" s="879"/>
      <c r="BD507" s="879"/>
      <c r="BE507" s="674"/>
      <c r="BF507" s="674"/>
      <c r="BG507" s="674"/>
      <c r="BH507" s="674"/>
      <c r="BI507" s="674"/>
      <c r="BJ507" s="674"/>
      <c r="BK507" s="674"/>
      <c r="BL507" s="674"/>
      <c r="BM507" s="674"/>
      <c r="BN507" s="674"/>
      <c r="BO507" s="674"/>
      <c r="BP507" s="674"/>
      <c r="BQ507" s="674"/>
      <c r="BR507" s="674"/>
      <c r="BS507" s="674"/>
      <c r="BT507" s="674"/>
      <c r="BU507" s="674"/>
      <c r="BV507" s="674"/>
      <c r="BW507" s="674"/>
      <c r="BX507" s="674"/>
      <c r="BY507" s="674"/>
      <c r="BZ507" s="674"/>
      <c r="CA507" s="674"/>
      <c r="CB507" s="879" t="s">
        <v>3146</v>
      </c>
      <c r="CC507" s="879"/>
      <c r="CD507" s="879"/>
      <c r="CE507" s="674"/>
      <c r="CF507" s="674"/>
      <c r="CG507" s="674"/>
      <c r="CH507" s="674"/>
      <c r="CI507" s="674"/>
      <c r="CJ507" s="674"/>
      <c r="CK507" s="674"/>
      <c r="CL507" s="674"/>
      <c r="CM507" s="674"/>
      <c r="CN507" s="674"/>
      <c r="CO507" s="674"/>
      <c r="CP507" s="674"/>
      <c r="CQ507" s="674"/>
      <c r="CR507" s="674"/>
      <c r="CS507" s="674"/>
      <c r="CT507" s="674"/>
      <c r="CU507" s="674"/>
      <c r="CV507" s="674"/>
      <c r="CW507" s="674"/>
      <c r="CX507" s="674"/>
      <c r="CY507" s="674"/>
      <c r="CZ507" s="674"/>
      <c r="DA507" s="674"/>
      <c r="DB507" s="879" t="s">
        <v>3146</v>
      </c>
      <c r="DC507" s="879"/>
      <c r="DD507" s="879"/>
      <c r="DE507" s="674"/>
      <c r="DF507" s="674"/>
      <c r="DG507" s="674"/>
      <c r="DH507" s="674"/>
      <c r="DI507" s="674"/>
      <c r="DJ507" s="674"/>
      <c r="DK507" s="674"/>
      <c r="DL507" s="674"/>
      <c r="DM507" s="674"/>
      <c r="DN507" s="674"/>
      <c r="DO507" s="674"/>
      <c r="DP507" s="674"/>
      <c r="DQ507" s="674"/>
      <c r="DR507" s="674"/>
      <c r="DS507" s="674"/>
      <c r="DT507" s="674"/>
      <c r="DU507" s="674"/>
      <c r="DV507" s="674"/>
      <c r="DW507" s="674"/>
      <c r="DX507" s="674"/>
      <c r="DY507" s="674"/>
      <c r="DZ507" s="674"/>
      <c r="EA507" s="674"/>
      <c r="EB507" s="879" t="s">
        <v>3146</v>
      </c>
      <c r="EC507" s="879"/>
      <c r="ED507" s="879"/>
      <c r="EE507" s="674"/>
      <c r="EF507" s="674"/>
      <c r="EG507" s="674"/>
      <c r="EH507" s="674"/>
      <c r="EI507" s="674"/>
      <c r="EJ507" s="674"/>
      <c r="EK507" s="674"/>
      <c r="EL507" s="674"/>
      <c r="EM507" s="674"/>
      <c r="EN507" s="674"/>
      <c r="EO507" s="674"/>
      <c r="EP507" s="674"/>
      <c r="EQ507" s="674"/>
      <c r="ER507" s="674"/>
      <c r="ES507" s="674"/>
      <c r="ET507" s="674"/>
      <c r="EU507" s="674"/>
      <c r="EV507" s="674"/>
      <c r="EW507" s="674"/>
      <c r="EX507" s="674"/>
      <c r="EY507" s="674"/>
      <c r="EZ507" s="674"/>
      <c r="FA507" s="674"/>
      <c r="FB507" s="879" t="s">
        <v>3146</v>
      </c>
      <c r="FC507" s="879"/>
      <c r="FD507" s="879"/>
      <c r="FE507" s="674"/>
      <c r="FF507" s="674"/>
      <c r="FG507" s="674"/>
      <c r="FH507" s="674"/>
      <c r="FI507" s="674"/>
      <c r="FJ507" s="674"/>
      <c r="FK507" s="674"/>
      <c r="FL507" s="674"/>
      <c r="FM507" s="674"/>
      <c r="FN507" s="674"/>
      <c r="FO507" s="674"/>
      <c r="FP507" s="674"/>
      <c r="FQ507" s="674"/>
      <c r="FR507" s="674"/>
      <c r="FS507" s="674"/>
      <c r="FT507" s="674"/>
      <c r="FU507" s="674"/>
      <c r="FV507" s="674"/>
      <c r="FW507" s="674"/>
      <c r="FX507" s="674"/>
      <c r="FY507" s="674"/>
      <c r="FZ507" s="674"/>
      <c r="GA507" s="674"/>
    </row>
    <row r="508" spans="1:183" x14ac:dyDescent="0.25">
      <c r="A508" s="674"/>
      <c r="B508" s="675" t="s">
        <v>3147</v>
      </c>
      <c r="C508" s="675" t="s">
        <v>3148</v>
      </c>
      <c r="D508" s="675" t="s">
        <v>3149</v>
      </c>
      <c r="E508" s="675" t="s">
        <v>3150</v>
      </c>
      <c r="F508" s="675" t="s">
        <v>3151</v>
      </c>
      <c r="G508" s="675" t="s">
        <v>364</v>
      </c>
      <c r="H508" s="675" t="s">
        <v>3152</v>
      </c>
      <c r="I508" s="675" t="s">
        <v>3153</v>
      </c>
      <c r="J508" s="675" t="s">
        <v>3099</v>
      </c>
      <c r="K508" s="675" t="s">
        <v>3154</v>
      </c>
      <c r="L508" s="675" t="s">
        <v>3155</v>
      </c>
      <c r="M508" s="675" t="s">
        <v>3157</v>
      </c>
      <c r="N508" s="675" t="s">
        <v>3156</v>
      </c>
      <c r="O508" s="675" t="s">
        <v>3158</v>
      </c>
      <c r="P508" s="675" t="s">
        <v>3159</v>
      </c>
      <c r="Q508" s="675" t="s">
        <v>3160</v>
      </c>
      <c r="R508" s="675" t="s">
        <v>3120</v>
      </c>
      <c r="S508" s="675" t="s">
        <v>3117</v>
      </c>
      <c r="T508" s="675" t="s">
        <v>3119</v>
      </c>
      <c r="U508" s="675" t="s">
        <v>3161</v>
      </c>
      <c r="V508" s="675" t="s">
        <v>3162</v>
      </c>
      <c r="W508" s="675" t="s">
        <v>3163</v>
      </c>
      <c r="X508" s="675" t="s">
        <v>3164</v>
      </c>
      <c r="Y508" s="675" t="s">
        <v>3165</v>
      </c>
      <c r="Z508" s="675" t="s">
        <v>3166</v>
      </c>
      <c r="AA508" s="675" t="s">
        <v>3167</v>
      </c>
      <c r="AB508" s="675" t="s">
        <v>3147</v>
      </c>
      <c r="AC508" s="675" t="s">
        <v>3148</v>
      </c>
      <c r="AD508" s="675" t="s">
        <v>3149</v>
      </c>
      <c r="AE508" s="675" t="s">
        <v>3150</v>
      </c>
      <c r="AF508" s="675" t="s">
        <v>3151</v>
      </c>
      <c r="AG508" s="675" t="s">
        <v>364</v>
      </c>
      <c r="AH508" s="675" t="s">
        <v>3152</v>
      </c>
      <c r="AI508" s="675" t="s">
        <v>3153</v>
      </c>
      <c r="AJ508" s="675" t="s">
        <v>3099</v>
      </c>
      <c r="AK508" s="675" t="s">
        <v>3154</v>
      </c>
      <c r="AL508" s="675" t="s">
        <v>3155</v>
      </c>
      <c r="AM508" s="675" t="s">
        <v>3157</v>
      </c>
      <c r="AN508" s="675" t="s">
        <v>3156</v>
      </c>
      <c r="AO508" s="675" t="s">
        <v>3158</v>
      </c>
      <c r="AP508" s="675" t="s">
        <v>3159</v>
      </c>
      <c r="AQ508" s="675" t="s">
        <v>3160</v>
      </c>
      <c r="AR508" s="675" t="s">
        <v>3120</v>
      </c>
      <c r="AS508" s="675" t="s">
        <v>3117</v>
      </c>
      <c r="AT508" s="675" t="s">
        <v>3119</v>
      </c>
      <c r="AU508" s="675" t="s">
        <v>3161</v>
      </c>
      <c r="AV508" s="675" t="s">
        <v>3162</v>
      </c>
      <c r="AW508" s="675" t="s">
        <v>3163</v>
      </c>
      <c r="AX508" s="675" t="s">
        <v>3164</v>
      </c>
      <c r="AY508" s="675" t="s">
        <v>3165</v>
      </c>
      <c r="AZ508" s="675" t="s">
        <v>3166</v>
      </c>
      <c r="BA508" s="675" t="s">
        <v>3167</v>
      </c>
      <c r="BB508" s="675" t="s">
        <v>3147</v>
      </c>
      <c r="BC508" s="675" t="s">
        <v>3148</v>
      </c>
      <c r="BD508" s="675" t="s">
        <v>3149</v>
      </c>
      <c r="BE508" s="675" t="s">
        <v>3150</v>
      </c>
      <c r="BF508" s="675" t="s">
        <v>3151</v>
      </c>
      <c r="BG508" s="675" t="s">
        <v>364</v>
      </c>
      <c r="BH508" s="675" t="s">
        <v>3152</v>
      </c>
      <c r="BI508" s="675" t="s">
        <v>3153</v>
      </c>
      <c r="BJ508" s="675" t="s">
        <v>3099</v>
      </c>
      <c r="BK508" s="675" t="s">
        <v>3154</v>
      </c>
      <c r="BL508" s="675" t="s">
        <v>3155</v>
      </c>
      <c r="BM508" s="675" t="s">
        <v>3157</v>
      </c>
      <c r="BN508" s="675" t="s">
        <v>3156</v>
      </c>
      <c r="BO508" s="675" t="s">
        <v>3158</v>
      </c>
      <c r="BP508" s="675" t="s">
        <v>3159</v>
      </c>
      <c r="BQ508" s="675" t="s">
        <v>3160</v>
      </c>
      <c r="BR508" s="675" t="s">
        <v>3120</v>
      </c>
      <c r="BS508" s="675" t="s">
        <v>3117</v>
      </c>
      <c r="BT508" s="675" t="s">
        <v>3119</v>
      </c>
      <c r="BU508" s="675" t="s">
        <v>3161</v>
      </c>
      <c r="BV508" s="675" t="s">
        <v>3162</v>
      </c>
      <c r="BW508" s="675" t="s">
        <v>3163</v>
      </c>
      <c r="BX508" s="675" t="s">
        <v>3164</v>
      </c>
      <c r="BY508" s="675" t="s">
        <v>3165</v>
      </c>
      <c r="BZ508" s="675" t="s">
        <v>3166</v>
      </c>
      <c r="CA508" s="675" t="s">
        <v>3167</v>
      </c>
      <c r="CB508" s="675" t="s">
        <v>3147</v>
      </c>
      <c r="CC508" s="675" t="s">
        <v>3148</v>
      </c>
      <c r="CD508" s="675" t="s">
        <v>3149</v>
      </c>
      <c r="CE508" s="675" t="s">
        <v>3150</v>
      </c>
      <c r="CF508" s="675" t="s">
        <v>3151</v>
      </c>
      <c r="CG508" s="675" t="s">
        <v>364</v>
      </c>
      <c r="CH508" s="675" t="s">
        <v>3152</v>
      </c>
      <c r="CI508" s="675" t="s">
        <v>3153</v>
      </c>
      <c r="CJ508" s="675" t="s">
        <v>3099</v>
      </c>
      <c r="CK508" s="675" t="s">
        <v>3154</v>
      </c>
      <c r="CL508" s="675" t="s">
        <v>3155</v>
      </c>
      <c r="CM508" s="675" t="s">
        <v>3157</v>
      </c>
      <c r="CN508" s="675" t="s">
        <v>3156</v>
      </c>
      <c r="CO508" s="675" t="s">
        <v>3158</v>
      </c>
      <c r="CP508" s="675" t="s">
        <v>3159</v>
      </c>
      <c r="CQ508" s="675" t="s">
        <v>3160</v>
      </c>
      <c r="CR508" s="675" t="s">
        <v>3120</v>
      </c>
      <c r="CS508" s="675" t="s">
        <v>3117</v>
      </c>
      <c r="CT508" s="675" t="s">
        <v>3119</v>
      </c>
      <c r="CU508" s="675" t="s">
        <v>3161</v>
      </c>
      <c r="CV508" s="675" t="s">
        <v>3162</v>
      </c>
      <c r="CW508" s="675" t="s">
        <v>3163</v>
      </c>
      <c r="CX508" s="675" t="s">
        <v>3164</v>
      </c>
      <c r="CY508" s="675" t="s">
        <v>3165</v>
      </c>
      <c r="CZ508" s="675" t="s">
        <v>3166</v>
      </c>
      <c r="DA508" s="675" t="s">
        <v>3167</v>
      </c>
      <c r="DB508" s="675" t="s">
        <v>3147</v>
      </c>
      <c r="DC508" s="675" t="s">
        <v>3148</v>
      </c>
      <c r="DD508" s="675" t="s">
        <v>3149</v>
      </c>
      <c r="DE508" s="675" t="s">
        <v>3150</v>
      </c>
      <c r="DF508" s="675" t="s">
        <v>3151</v>
      </c>
      <c r="DG508" s="675" t="s">
        <v>364</v>
      </c>
      <c r="DH508" s="675" t="s">
        <v>3152</v>
      </c>
      <c r="DI508" s="675" t="s">
        <v>3153</v>
      </c>
      <c r="DJ508" s="675" t="s">
        <v>3099</v>
      </c>
      <c r="DK508" s="675" t="s">
        <v>3154</v>
      </c>
      <c r="DL508" s="675" t="s">
        <v>3155</v>
      </c>
      <c r="DM508" s="675" t="s">
        <v>3157</v>
      </c>
      <c r="DN508" s="675" t="s">
        <v>3156</v>
      </c>
      <c r="DO508" s="675" t="s">
        <v>3158</v>
      </c>
      <c r="DP508" s="675" t="s">
        <v>3159</v>
      </c>
      <c r="DQ508" s="675" t="s">
        <v>3160</v>
      </c>
      <c r="DR508" s="675" t="s">
        <v>3120</v>
      </c>
      <c r="DS508" s="675" t="s">
        <v>3117</v>
      </c>
      <c r="DT508" s="675" t="s">
        <v>3119</v>
      </c>
      <c r="DU508" s="675" t="s">
        <v>3161</v>
      </c>
      <c r="DV508" s="675" t="s">
        <v>3162</v>
      </c>
      <c r="DW508" s="675" t="s">
        <v>3163</v>
      </c>
      <c r="DX508" s="675" t="s">
        <v>3164</v>
      </c>
      <c r="DY508" s="675" t="s">
        <v>3165</v>
      </c>
      <c r="DZ508" s="675" t="s">
        <v>3166</v>
      </c>
      <c r="EA508" s="675" t="s">
        <v>3167</v>
      </c>
      <c r="EB508" s="675" t="s">
        <v>3147</v>
      </c>
      <c r="EC508" s="675" t="s">
        <v>3148</v>
      </c>
      <c r="ED508" s="675" t="s">
        <v>3149</v>
      </c>
      <c r="EE508" s="675" t="s">
        <v>3150</v>
      </c>
      <c r="EF508" s="675" t="s">
        <v>3151</v>
      </c>
      <c r="EG508" s="675" t="s">
        <v>364</v>
      </c>
      <c r="EH508" s="675" t="s">
        <v>3152</v>
      </c>
      <c r="EI508" s="675" t="s">
        <v>3153</v>
      </c>
      <c r="EJ508" s="675" t="s">
        <v>3099</v>
      </c>
      <c r="EK508" s="675" t="s">
        <v>3154</v>
      </c>
      <c r="EL508" s="675" t="s">
        <v>3155</v>
      </c>
      <c r="EM508" s="675" t="s">
        <v>3157</v>
      </c>
      <c r="EN508" s="675" t="s">
        <v>3156</v>
      </c>
      <c r="EO508" s="675" t="s">
        <v>3158</v>
      </c>
      <c r="EP508" s="675" t="s">
        <v>3159</v>
      </c>
      <c r="EQ508" s="675" t="s">
        <v>3160</v>
      </c>
      <c r="ER508" s="675" t="s">
        <v>3120</v>
      </c>
      <c r="ES508" s="675" t="s">
        <v>3117</v>
      </c>
      <c r="ET508" s="675" t="s">
        <v>3119</v>
      </c>
      <c r="EU508" s="675" t="s">
        <v>3161</v>
      </c>
      <c r="EV508" s="675" t="s">
        <v>3162</v>
      </c>
      <c r="EW508" s="675" t="s">
        <v>3163</v>
      </c>
      <c r="EX508" s="675" t="s">
        <v>3164</v>
      </c>
      <c r="EY508" s="675" t="s">
        <v>3165</v>
      </c>
      <c r="EZ508" s="675" t="s">
        <v>3166</v>
      </c>
      <c r="FA508" s="675" t="s">
        <v>3167</v>
      </c>
      <c r="FB508" s="675" t="s">
        <v>3147</v>
      </c>
      <c r="FC508" s="675" t="s">
        <v>3148</v>
      </c>
      <c r="FD508" s="675" t="s">
        <v>3149</v>
      </c>
      <c r="FE508" s="675" t="s">
        <v>3150</v>
      </c>
      <c r="FF508" s="675" t="s">
        <v>3151</v>
      </c>
      <c r="FG508" s="675" t="s">
        <v>364</v>
      </c>
      <c r="FH508" s="675" t="s">
        <v>3152</v>
      </c>
      <c r="FI508" s="675" t="s">
        <v>3153</v>
      </c>
      <c r="FJ508" s="675" t="s">
        <v>3099</v>
      </c>
      <c r="FK508" s="675" t="s">
        <v>3154</v>
      </c>
      <c r="FL508" s="675" t="s">
        <v>3155</v>
      </c>
      <c r="FM508" s="675" t="s">
        <v>3157</v>
      </c>
      <c r="FN508" s="675" t="s">
        <v>3156</v>
      </c>
      <c r="FO508" s="675" t="s">
        <v>3158</v>
      </c>
      <c r="FP508" s="675" t="s">
        <v>3159</v>
      </c>
      <c r="FQ508" s="675" t="s">
        <v>3160</v>
      </c>
      <c r="FR508" s="675" t="s">
        <v>3120</v>
      </c>
      <c r="FS508" s="675" t="s">
        <v>3117</v>
      </c>
      <c r="FT508" s="675" t="s">
        <v>3119</v>
      </c>
      <c r="FU508" s="675" t="s">
        <v>3161</v>
      </c>
      <c r="FV508" s="675" t="s">
        <v>3162</v>
      </c>
      <c r="FW508" s="675" t="s">
        <v>3163</v>
      </c>
      <c r="FX508" s="675" t="s">
        <v>3164</v>
      </c>
      <c r="FY508" s="675" t="s">
        <v>3165</v>
      </c>
      <c r="FZ508" s="675" t="s">
        <v>3166</v>
      </c>
      <c r="GA508" s="675" t="s">
        <v>3167</v>
      </c>
    </row>
    <row r="509" spans="1:183" ht="15.6" x14ac:dyDescent="0.3">
      <c r="A509" s="676" t="s">
        <v>412</v>
      </c>
    </row>
    <row r="510" spans="1:183" ht="15.6" x14ac:dyDescent="0.3">
      <c r="A510" s="676" t="s">
        <v>2986</v>
      </c>
    </row>
    <row r="511" spans="1:183" ht="15.6" x14ac:dyDescent="0.3">
      <c r="A511" s="676" t="s">
        <v>2987</v>
      </c>
    </row>
    <row r="512" spans="1:183" ht="15.6" x14ac:dyDescent="0.3">
      <c r="A512" s="676" t="s">
        <v>2988</v>
      </c>
    </row>
    <row r="513" spans="1:1" ht="15.6" x14ac:dyDescent="0.3">
      <c r="A513" s="676" t="s">
        <v>2989</v>
      </c>
    </row>
    <row r="514" spans="1:1" ht="15.6" x14ac:dyDescent="0.3">
      <c r="A514" s="676" t="s">
        <v>2990</v>
      </c>
    </row>
    <row r="515" spans="1:1" ht="15.6" x14ac:dyDescent="0.3">
      <c r="A515" s="676" t="s">
        <v>2991</v>
      </c>
    </row>
    <row r="516" spans="1:1" ht="15.6" x14ac:dyDescent="0.3">
      <c r="A516" s="676" t="s">
        <v>2992</v>
      </c>
    </row>
    <row r="517" spans="1:1" ht="15.6" x14ac:dyDescent="0.3">
      <c r="A517" s="676" t="s">
        <v>2993</v>
      </c>
    </row>
    <row r="518" spans="1:1" ht="15.6" x14ac:dyDescent="0.3">
      <c r="A518" s="676" t="s">
        <v>2994</v>
      </c>
    </row>
    <row r="519" spans="1:1" ht="15.6" x14ac:dyDescent="0.3">
      <c r="A519" s="676" t="s">
        <v>2995</v>
      </c>
    </row>
    <row r="520" spans="1:1" ht="15.6" x14ac:dyDescent="0.3">
      <c r="A520" s="676" t="s">
        <v>2996</v>
      </c>
    </row>
    <row r="521" spans="1:1" ht="15.6" x14ac:dyDescent="0.3">
      <c r="A521" s="676" t="s">
        <v>2997</v>
      </c>
    </row>
    <row r="522" spans="1:1" ht="15.6" x14ac:dyDescent="0.3">
      <c r="A522" s="676" t="s">
        <v>2998</v>
      </c>
    </row>
    <row r="523" spans="1:1" ht="15.6" x14ac:dyDescent="0.3">
      <c r="A523" s="676" t="s">
        <v>2999</v>
      </c>
    </row>
    <row r="524" spans="1:1" ht="15.6" x14ac:dyDescent="0.3">
      <c r="A524" s="676" t="s">
        <v>3000</v>
      </c>
    </row>
    <row r="525" spans="1:1" ht="15.6" x14ac:dyDescent="0.3">
      <c r="A525" s="676" t="s">
        <v>3001</v>
      </c>
    </row>
    <row r="526" spans="1:1" ht="15.6" x14ac:dyDescent="0.3">
      <c r="A526" s="676" t="s">
        <v>3002</v>
      </c>
    </row>
    <row r="527" spans="1:1" ht="15.6" x14ac:dyDescent="0.3">
      <c r="A527" s="676" t="s">
        <v>3003</v>
      </c>
    </row>
    <row r="528" spans="1:1" ht="15.6" x14ac:dyDescent="0.3">
      <c r="A528" s="676" t="s">
        <v>3004</v>
      </c>
    </row>
    <row r="529" spans="1:1" ht="15.6" x14ac:dyDescent="0.3">
      <c r="A529" s="676" t="s">
        <v>3005</v>
      </c>
    </row>
    <row r="530" spans="1:1" ht="15.6" x14ac:dyDescent="0.3">
      <c r="A530" s="676" t="s">
        <v>3006</v>
      </c>
    </row>
    <row r="531" spans="1:1" ht="15.6" x14ac:dyDescent="0.3">
      <c r="A531" s="676" t="s">
        <v>3007</v>
      </c>
    </row>
    <row r="532" spans="1:1" ht="15.6" x14ac:dyDescent="0.3">
      <c r="A532" s="676" t="s">
        <v>3008</v>
      </c>
    </row>
    <row r="533" spans="1:1" ht="15.6" x14ac:dyDescent="0.3">
      <c r="A533" s="676" t="s">
        <v>3009</v>
      </c>
    </row>
    <row r="534" spans="1:1" ht="15.6" x14ac:dyDescent="0.3">
      <c r="A534" s="676" t="s">
        <v>3010</v>
      </c>
    </row>
    <row r="535" spans="1:1" ht="15.6" x14ac:dyDescent="0.3">
      <c r="A535" s="676" t="s">
        <v>3011</v>
      </c>
    </row>
    <row r="536" spans="1:1" ht="15.6" x14ac:dyDescent="0.3">
      <c r="A536" s="676" t="s">
        <v>3012</v>
      </c>
    </row>
    <row r="537" spans="1:1" ht="15.6" x14ac:dyDescent="0.3">
      <c r="A537" s="676" t="s">
        <v>3013</v>
      </c>
    </row>
    <row r="538" spans="1:1" ht="15.6" x14ac:dyDescent="0.3">
      <c r="A538" s="676" t="s">
        <v>3014</v>
      </c>
    </row>
    <row r="539" spans="1:1" ht="15.6" x14ac:dyDescent="0.3">
      <c r="A539" s="676" t="s">
        <v>3015</v>
      </c>
    </row>
    <row r="540" spans="1:1" ht="15.6" x14ac:dyDescent="0.3">
      <c r="A540" s="676" t="s">
        <v>3016</v>
      </c>
    </row>
    <row r="541" spans="1:1" ht="15.6" x14ac:dyDescent="0.3">
      <c r="A541" s="676" t="s">
        <v>3017</v>
      </c>
    </row>
    <row r="542" spans="1:1" ht="15.6" x14ac:dyDescent="0.3">
      <c r="A542" s="676" t="s">
        <v>3018</v>
      </c>
    </row>
    <row r="543" spans="1:1" ht="15.6" x14ac:dyDescent="0.3">
      <c r="A543" s="676" t="s">
        <v>3019</v>
      </c>
    </row>
    <row r="544" spans="1:1" ht="15.6" x14ac:dyDescent="0.3">
      <c r="A544" s="676" t="s">
        <v>3020</v>
      </c>
    </row>
    <row r="545" spans="1:1" ht="15.6" x14ac:dyDescent="0.3">
      <c r="A545" s="676" t="s">
        <v>3021</v>
      </c>
    </row>
    <row r="546" spans="1:1" ht="15.6" x14ac:dyDescent="0.3">
      <c r="A546" s="676" t="s">
        <v>3022</v>
      </c>
    </row>
    <row r="547" spans="1:1" ht="15.6" x14ac:dyDescent="0.3">
      <c r="A547" s="676" t="s">
        <v>3023</v>
      </c>
    </row>
    <row r="548" spans="1:1" ht="15.6" x14ac:dyDescent="0.3">
      <c r="A548" s="676" t="s">
        <v>3024</v>
      </c>
    </row>
    <row r="549" spans="1:1" ht="15.6" x14ac:dyDescent="0.3">
      <c r="A549" s="676" t="s">
        <v>3025</v>
      </c>
    </row>
    <row r="550" spans="1:1" ht="15.6" x14ac:dyDescent="0.3">
      <c r="A550" s="676" t="s">
        <v>3026</v>
      </c>
    </row>
    <row r="551" spans="1:1" ht="15.6" x14ac:dyDescent="0.3">
      <c r="A551" s="676" t="s">
        <v>3027</v>
      </c>
    </row>
    <row r="552" spans="1:1" ht="15.6" x14ac:dyDescent="0.3">
      <c r="A552" s="676" t="s">
        <v>3028</v>
      </c>
    </row>
    <row r="553" spans="1:1" ht="15.6" x14ac:dyDescent="0.3">
      <c r="A553" s="676" t="s">
        <v>3029</v>
      </c>
    </row>
    <row r="554" spans="1:1" ht="15.6" x14ac:dyDescent="0.3">
      <c r="A554" s="676" t="s">
        <v>3030</v>
      </c>
    </row>
    <row r="555" spans="1:1" ht="15.6" x14ac:dyDescent="0.3">
      <c r="A555" s="676" t="s">
        <v>3031</v>
      </c>
    </row>
    <row r="556" spans="1:1" ht="15.6" x14ac:dyDescent="0.3">
      <c r="A556" s="676" t="s">
        <v>3032</v>
      </c>
    </row>
    <row r="557" spans="1:1" ht="15.6" x14ac:dyDescent="0.3">
      <c r="A557" s="676" t="s">
        <v>3033</v>
      </c>
    </row>
    <row r="558" spans="1:1" ht="15.6" x14ac:dyDescent="0.3">
      <c r="A558" s="676" t="s">
        <v>3034</v>
      </c>
    </row>
    <row r="559" spans="1:1" ht="15.6" x14ac:dyDescent="0.3">
      <c r="A559" s="676" t="s">
        <v>3035</v>
      </c>
    </row>
    <row r="560" spans="1:1" ht="15.6" x14ac:dyDescent="0.3">
      <c r="A560" s="676" t="s">
        <v>3036</v>
      </c>
    </row>
    <row r="561" spans="1:1" ht="15.6" x14ac:dyDescent="0.3">
      <c r="A561" s="676" t="s">
        <v>3037</v>
      </c>
    </row>
    <row r="562" spans="1:1" ht="15.6" x14ac:dyDescent="0.3">
      <c r="A562" s="676" t="s">
        <v>3038</v>
      </c>
    </row>
    <row r="563" spans="1:1" ht="15.6" x14ac:dyDescent="0.3">
      <c r="A563" s="676" t="s">
        <v>3039</v>
      </c>
    </row>
    <row r="564" spans="1:1" ht="15.6" x14ac:dyDescent="0.3">
      <c r="A564" s="676" t="s">
        <v>3040</v>
      </c>
    </row>
    <row r="565" spans="1:1" ht="15.6" x14ac:dyDescent="0.3">
      <c r="A565" s="676" t="s">
        <v>3041</v>
      </c>
    </row>
    <row r="566" spans="1:1" ht="15.6" x14ac:dyDescent="0.3">
      <c r="A566" s="676" t="s">
        <v>3042</v>
      </c>
    </row>
    <row r="567" spans="1:1" ht="15.6" x14ac:dyDescent="0.3">
      <c r="A567" s="676" t="s">
        <v>3043</v>
      </c>
    </row>
    <row r="568" spans="1:1" ht="15.6" x14ac:dyDescent="0.3">
      <c r="A568" s="676" t="s">
        <v>3044</v>
      </c>
    </row>
    <row r="569" spans="1:1" ht="15.6" x14ac:dyDescent="0.3">
      <c r="A569" s="676" t="s">
        <v>3045</v>
      </c>
    </row>
    <row r="570" spans="1:1" ht="15.6" x14ac:dyDescent="0.3">
      <c r="A570" s="676" t="s">
        <v>3046</v>
      </c>
    </row>
    <row r="571" spans="1:1" ht="15.6" x14ac:dyDescent="0.3">
      <c r="A571" s="676" t="s">
        <v>3047</v>
      </c>
    </row>
    <row r="572" spans="1:1" ht="15.6" x14ac:dyDescent="0.3">
      <c r="A572" s="676" t="s">
        <v>3048</v>
      </c>
    </row>
    <row r="573" spans="1:1" ht="15.6" x14ac:dyDescent="0.3">
      <c r="A573" s="676" t="s">
        <v>3049</v>
      </c>
    </row>
    <row r="574" spans="1:1" ht="15.6" x14ac:dyDescent="0.3">
      <c r="A574" s="676" t="s">
        <v>3050</v>
      </c>
    </row>
    <row r="575" spans="1:1" ht="15.6" x14ac:dyDescent="0.3">
      <c r="A575" s="676" t="s">
        <v>3051</v>
      </c>
    </row>
    <row r="576" spans="1:1" ht="15.6" x14ac:dyDescent="0.3">
      <c r="A576" s="676" t="s">
        <v>3052</v>
      </c>
    </row>
    <row r="577" spans="1:1" ht="15.6" x14ac:dyDescent="0.3">
      <c r="A577" s="676" t="s">
        <v>3053</v>
      </c>
    </row>
    <row r="578" spans="1:1" ht="15.6" x14ac:dyDescent="0.3">
      <c r="A578" s="676" t="s">
        <v>3054</v>
      </c>
    </row>
    <row r="579" spans="1:1" ht="15.6" x14ac:dyDescent="0.3">
      <c r="A579" s="676" t="s">
        <v>3055</v>
      </c>
    </row>
    <row r="580" spans="1:1" ht="15.6" x14ac:dyDescent="0.3">
      <c r="A580" s="676" t="s">
        <v>3056</v>
      </c>
    </row>
    <row r="581" spans="1:1" ht="15.6" x14ac:dyDescent="0.3">
      <c r="A581" s="676" t="s">
        <v>3057</v>
      </c>
    </row>
    <row r="582" spans="1:1" ht="15.6" x14ac:dyDescent="0.3">
      <c r="A582" s="676" t="s">
        <v>3058</v>
      </c>
    </row>
    <row r="583" spans="1:1" ht="15.6" x14ac:dyDescent="0.3">
      <c r="A583" s="676" t="s">
        <v>3059</v>
      </c>
    </row>
    <row r="584" spans="1:1" ht="15.6" x14ac:dyDescent="0.3">
      <c r="A584" s="676" t="s">
        <v>3060</v>
      </c>
    </row>
    <row r="585" spans="1:1" ht="15.6" x14ac:dyDescent="0.3">
      <c r="A585" s="676" t="s">
        <v>3061</v>
      </c>
    </row>
    <row r="586" spans="1:1" ht="15.6" x14ac:dyDescent="0.3">
      <c r="A586" s="676" t="s">
        <v>3062</v>
      </c>
    </row>
    <row r="587" spans="1:1" ht="15.6" x14ac:dyDescent="0.3">
      <c r="A587" s="676" t="s">
        <v>3063</v>
      </c>
    </row>
    <row r="588" spans="1:1" ht="15.6" x14ac:dyDescent="0.3">
      <c r="A588" s="676" t="s">
        <v>3064</v>
      </c>
    </row>
    <row r="589" spans="1:1" ht="15.6" x14ac:dyDescent="0.3">
      <c r="A589" s="676" t="s">
        <v>3065</v>
      </c>
    </row>
    <row r="590" spans="1:1" ht="15.6" x14ac:dyDescent="0.3">
      <c r="A590" s="676" t="s">
        <v>3066</v>
      </c>
    </row>
    <row r="591" spans="1:1" ht="15.6" x14ac:dyDescent="0.3">
      <c r="A591" s="676" t="s">
        <v>3067</v>
      </c>
    </row>
    <row r="592" spans="1:1" ht="15.6" x14ac:dyDescent="0.3">
      <c r="A592" s="676" t="s">
        <v>3068</v>
      </c>
    </row>
    <row r="593" spans="1:183" ht="15.6" x14ac:dyDescent="0.3">
      <c r="A593" s="676" t="s">
        <v>3069</v>
      </c>
    </row>
    <row r="594" spans="1:183" ht="15.6" x14ac:dyDescent="0.3">
      <c r="A594" s="676" t="s">
        <v>3070</v>
      </c>
    </row>
    <row r="595" spans="1:183" ht="15.6" x14ac:dyDescent="0.3">
      <c r="A595" s="676" t="s">
        <v>3071</v>
      </c>
    </row>
    <row r="596" spans="1:183" ht="15.6" x14ac:dyDescent="0.3">
      <c r="A596" s="676" t="s">
        <v>3072</v>
      </c>
    </row>
    <row r="597" spans="1:183" ht="15.6" x14ac:dyDescent="0.3">
      <c r="A597" s="676" t="s">
        <v>3073</v>
      </c>
    </row>
    <row r="598" spans="1:183" ht="15.6" x14ac:dyDescent="0.3">
      <c r="A598" s="676" t="s">
        <v>3074</v>
      </c>
    </row>
    <row r="599" spans="1:183" ht="15.6" x14ac:dyDescent="0.3">
      <c r="A599" s="676" t="s">
        <v>3075</v>
      </c>
    </row>
    <row r="600" spans="1:183" ht="15.6" x14ac:dyDescent="0.3">
      <c r="A600" s="676" t="s">
        <v>3076</v>
      </c>
    </row>
    <row r="601" spans="1:183" ht="15.6" x14ac:dyDescent="0.3">
      <c r="A601" s="676" t="s">
        <v>3077</v>
      </c>
    </row>
    <row r="602" spans="1:183" ht="15.6" x14ac:dyDescent="0.3">
      <c r="A602" s="676" t="s">
        <v>3078</v>
      </c>
    </row>
    <row r="607" spans="1:183" x14ac:dyDescent="0.25">
      <c r="B607" s="880">
        <v>2014</v>
      </c>
      <c r="C607" s="880"/>
      <c r="D607" s="880"/>
      <c r="E607" s="880"/>
      <c r="F607" s="880"/>
      <c r="G607" s="880"/>
      <c r="H607" s="880"/>
      <c r="I607" s="880"/>
      <c r="J607" s="880"/>
      <c r="K607" s="880"/>
      <c r="L607" s="880"/>
      <c r="M607" s="880"/>
      <c r="N607" s="880"/>
      <c r="O607" s="880"/>
      <c r="P607" s="880"/>
      <c r="Q607" s="880"/>
      <c r="R607" s="880"/>
      <c r="S607" s="880"/>
      <c r="T607" s="880"/>
      <c r="U607" s="880"/>
      <c r="V607" s="880"/>
      <c r="W607" s="880"/>
      <c r="X607" s="880"/>
      <c r="Y607" s="880"/>
      <c r="Z607" s="880"/>
      <c r="AA607" s="880"/>
      <c r="AB607" s="880">
        <v>2015</v>
      </c>
      <c r="AC607" s="880"/>
      <c r="AD607" s="880"/>
      <c r="AE607" s="880"/>
      <c r="AF607" s="880"/>
      <c r="AG607" s="880"/>
      <c r="AH607" s="880"/>
      <c r="AI607" s="880"/>
      <c r="AJ607" s="880"/>
      <c r="AK607" s="880"/>
      <c r="AL607" s="880"/>
      <c r="AM607" s="880"/>
      <c r="AN607" s="880"/>
      <c r="AO607" s="880"/>
      <c r="AP607" s="880"/>
      <c r="AQ607" s="880"/>
      <c r="AR607" s="880"/>
      <c r="AS607" s="880"/>
      <c r="AT607" s="880"/>
      <c r="AU607" s="880"/>
      <c r="AV607" s="880"/>
      <c r="AW607" s="880"/>
      <c r="AX607" s="880"/>
      <c r="AY607" s="880"/>
      <c r="AZ607" s="880"/>
      <c r="BA607" s="880"/>
      <c r="BB607" s="880">
        <v>2016</v>
      </c>
      <c r="BC607" s="880"/>
      <c r="BD607" s="880"/>
      <c r="BE607" s="880"/>
      <c r="BF607" s="880"/>
      <c r="BG607" s="880"/>
      <c r="BH607" s="880"/>
      <c r="BI607" s="880"/>
      <c r="BJ607" s="880"/>
      <c r="BK607" s="880"/>
      <c r="BL607" s="880"/>
      <c r="BM607" s="880"/>
      <c r="BN607" s="880"/>
      <c r="BO607" s="880"/>
      <c r="BP607" s="880"/>
      <c r="BQ607" s="880"/>
      <c r="BR607" s="880"/>
      <c r="BS607" s="880"/>
      <c r="BT607" s="880"/>
      <c r="BU607" s="880"/>
      <c r="BV607" s="880"/>
      <c r="BW607" s="880"/>
      <c r="BX607" s="880"/>
      <c r="BY607" s="880"/>
      <c r="BZ607" s="880"/>
      <c r="CA607" s="880"/>
      <c r="CB607" s="880">
        <v>2017</v>
      </c>
      <c r="CC607" s="880"/>
      <c r="CD607" s="880"/>
      <c r="CE607" s="880"/>
      <c r="CF607" s="880"/>
      <c r="CG607" s="880"/>
      <c r="CH607" s="880"/>
      <c r="CI607" s="880"/>
      <c r="CJ607" s="880"/>
      <c r="CK607" s="880"/>
      <c r="CL607" s="880"/>
      <c r="CM607" s="880"/>
      <c r="CN607" s="880"/>
      <c r="CO607" s="880"/>
      <c r="CP607" s="880"/>
      <c r="CQ607" s="880"/>
      <c r="CR607" s="880"/>
      <c r="CS607" s="880"/>
      <c r="CT607" s="880"/>
      <c r="CU607" s="880"/>
      <c r="CV607" s="880"/>
      <c r="CW607" s="880"/>
      <c r="CX607" s="880"/>
      <c r="CY607" s="880"/>
      <c r="CZ607" s="880"/>
      <c r="DA607" s="880"/>
      <c r="DB607" s="880">
        <v>2018</v>
      </c>
      <c r="DC607" s="880"/>
      <c r="DD607" s="880"/>
      <c r="DE607" s="880"/>
      <c r="DF607" s="880"/>
      <c r="DG607" s="880"/>
      <c r="DH607" s="880"/>
      <c r="DI607" s="880"/>
      <c r="DJ607" s="880"/>
      <c r="DK607" s="880"/>
      <c r="DL607" s="880"/>
      <c r="DM607" s="880"/>
      <c r="DN607" s="880"/>
      <c r="DO607" s="880"/>
      <c r="DP607" s="880"/>
      <c r="DQ607" s="880"/>
      <c r="DR607" s="880"/>
      <c r="DS607" s="880"/>
      <c r="DT607" s="880"/>
      <c r="DU607" s="880"/>
      <c r="DV607" s="880"/>
      <c r="DW607" s="880"/>
      <c r="DX607" s="880"/>
      <c r="DY607" s="880"/>
      <c r="DZ607" s="880"/>
      <c r="EA607" s="880"/>
      <c r="EB607" s="880">
        <v>2019</v>
      </c>
      <c r="EC607" s="880"/>
      <c r="ED607" s="880"/>
      <c r="EE607" s="880"/>
      <c r="EF607" s="880"/>
      <c r="EG607" s="880"/>
      <c r="EH607" s="880"/>
      <c r="EI607" s="880"/>
      <c r="EJ607" s="880"/>
      <c r="EK607" s="880"/>
      <c r="EL607" s="880"/>
      <c r="EM607" s="880"/>
      <c r="EN607" s="880"/>
      <c r="EO607" s="880"/>
      <c r="EP607" s="880"/>
      <c r="EQ607" s="880"/>
      <c r="ER607" s="880"/>
      <c r="ES607" s="880"/>
      <c r="ET607" s="880"/>
      <c r="EU607" s="880"/>
      <c r="EV607" s="880"/>
      <c r="EW607" s="880"/>
      <c r="EX607" s="880"/>
      <c r="EY607" s="880"/>
      <c r="EZ607" s="880"/>
      <c r="FA607" s="880"/>
      <c r="FB607" s="880">
        <v>2020</v>
      </c>
      <c r="FC607" s="880"/>
      <c r="FD607" s="880"/>
      <c r="FE607" s="880"/>
      <c r="FF607" s="880"/>
      <c r="FG607" s="880"/>
      <c r="FH607" s="880"/>
      <c r="FI607" s="880"/>
      <c r="FJ607" s="880"/>
      <c r="FK607" s="880"/>
      <c r="FL607" s="880"/>
      <c r="FM607" s="880"/>
      <c r="FN607" s="880"/>
      <c r="FO607" s="880"/>
      <c r="FP607" s="880"/>
      <c r="FQ607" s="880"/>
      <c r="FR607" s="880"/>
      <c r="FS607" s="880"/>
      <c r="FT607" s="880"/>
      <c r="FU607" s="880"/>
      <c r="FV607" s="880"/>
      <c r="FW607" s="880"/>
      <c r="FX607" s="880"/>
      <c r="FY607" s="880"/>
      <c r="FZ607" s="880"/>
      <c r="GA607" s="880"/>
    </row>
    <row r="608" spans="1:183" ht="15.6" x14ac:dyDescent="0.25">
      <c r="A608" s="677" t="s">
        <v>3169</v>
      </c>
      <c r="B608" s="879" t="s">
        <v>3146</v>
      </c>
      <c r="C608" s="879"/>
      <c r="D608" s="879"/>
      <c r="E608" s="674"/>
      <c r="F608" s="674"/>
      <c r="G608" s="674"/>
      <c r="H608" s="674"/>
      <c r="I608" s="674"/>
      <c r="J608" s="674"/>
      <c r="K608" s="674"/>
      <c r="L608" s="674"/>
      <c r="M608" s="674"/>
      <c r="N608" s="674"/>
      <c r="O608" s="674"/>
      <c r="P608" s="674"/>
      <c r="Q608" s="674"/>
      <c r="R608" s="674"/>
      <c r="S608" s="674"/>
      <c r="T608" s="674"/>
      <c r="U608" s="674"/>
      <c r="V608" s="674"/>
      <c r="W608" s="674"/>
      <c r="X608" s="674"/>
      <c r="Y608" s="674"/>
      <c r="Z608" s="674"/>
      <c r="AA608" s="674"/>
      <c r="AB608" s="879" t="s">
        <v>3146</v>
      </c>
      <c r="AC608" s="879"/>
      <c r="AD608" s="879"/>
      <c r="AE608" s="674"/>
      <c r="AF608" s="674"/>
      <c r="AG608" s="674"/>
      <c r="AH608" s="674"/>
      <c r="AI608" s="674"/>
      <c r="AJ608" s="674"/>
      <c r="AK608" s="674"/>
      <c r="AL608" s="674"/>
      <c r="AM608" s="674"/>
      <c r="AN608" s="674"/>
      <c r="AO608" s="674"/>
      <c r="AP608" s="674"/>
      <c r="AQ608" s="674"/>
      <c r="AR608" s="674"/>
      <c r="AS608" s="674"/>
      <c r="AT608" s="674"/>
      <c r="AU608" s="674"/>
      <c r="AV608" s="674"/>
      <c r="AW608" s="674"/>
      <c r="AX608" s="674"/>
      <c r="AY608" s="674"/>
      <c r="AZ608" s="674"/>
      <c r="BA608" s="674"/>
      <c r="BB608" s="879" t="s">
        <v>3146</v>
      </c>
      <c r="BC608" s="879"/>
      <c r="BD608" s="879"/>
      <c r="BE608" s="674"/>
      <c r="BF608" s="674"/>
      <c r="BG608" s="674"/>
      <c r="BH608" s="674"/>
      <c r="BI608" s="674"/>
      <c r="BJ608" s="674"/>
      <c r="BK608" s="674"/>
      <c r="BL608" s="674"/>
      <c r="BM608" s="674"/>
      <c r="BN608" s="674"/>
      <c r="BO608" s="674"/>
      <c r="BP608" s="674"/>
      <c r="BQ608" s="674"/>
      <c r="BR608" s="674"/>
      <c r="BS608" s="674"/>
      <c r="BT608" s="674"/>
      <c r="BU608" s="674"/>
      <c r="BV608" s="674"/>
      <c r="BW608" s="674"/>
      <c r="BX608" s="674"/>
      <c r="BY608" s="674"/>
      <c r="BZ608" s="674"/>
      <c r="CA608" s="674"/>
      <c r="CB608" s="879" t="s">
        <v>3146</v>
      </c>
      <c r="CC608" s="879"/>
      <c r="CD608" s="879"/>
      <c r="CE608" s="674"/>
      <c r="CF608" s="674"/>
      <c r="CG608" s="674"/>
      <c r="CH608" s="674"/>
      <c r="CI608" s="674"/>
      <c r="CJ608" s="674"/>
      <c r="CK608" s="674"/>
      <c r="CL608" s="674"/>
      <c r="CM608" s="674"/>
      <c r="CN608" s="674"/>
      <c r="CO608" s="674"/>
      <c r="CP608" s="674"/>
      <c r="CQ608" s="674"/>
      <c r="CR608" s="674"/>
      <c r="CS608" s="674"/>
      <c r="CT608" s="674"/>
      <c r="CU608" s="674"/>
      <c r="CV608" s="674"/>
      <c r="CW608" s="674"/>
      <c r="CX608" s="674"/>
      <c r="CY608" s="674"/>
      <c r="CZ608" s="674"/>
      <c r="DA608" s="674"/>
      <c r="DB608" s="879" t="s">
        <v>3146</v>
      </c>
      <c r="DC608" s="879"/>
      <c r="DD608" s="879"/>
      <c r="DE608" s="674"/>
      <c r="DF608" s="674"/>
      <c r="DG608" s="674"/>
      <c r="DH608" s="674"/>
      <c r="DI608" s="674"/>
      <c r="DJ608" s="674"/>
      <c r="DK608" s="674"/>
      <c r="DL608" s="674"/>
      <c r="DM608" s="674"/>
      <c r="DN608" s="674"/>
      <c r="DO608" s="674"/>
      <c r="DP608" s="674"/>
      <c r="DQ608" s="674"/>
      <c r="DR608" s="674"/>
      <c r="DS608" s="674"/>
      <c r="DT608" s="674"/>
      <c r="DU608" s="674"/>
      <c r="DV608" s="674"/>
      <c r="DW608" s="674"/>
      <c r="DX608" s="674"/>
      <c r="DY608" s="674"/>
      <c r="DZ608" s="674"/>
      <c r="EA608" s="674"/>
      <c r="EB608" s="879" t="s">
        <v>3146</v>
      </c>
      <c r="EC608" s="879"/>
      <c r="ED608" s="879"/>
      <c r="EE608" s="674"/>
      <c r="EF608" s="674"/>
      <c r="EG608" s="674"/>
      <c r="EH608" s="674"/>
      <c r="EI608" s="674"/>
      <c r="EJ608" s="674"/>
      <c r="EK608" s="674"/>
      <c r="EL608" s="674"/>
      <c r="EM608" s="674"/>
      <c r="EN608" s="674"/>
      <c r="EO608" s="674"/>
      <c r="EP608" s="674"/>
      <c r="EQ608" s="674"/>
      <c r="ER608" s="674"/>
      <c r="ES608" s="674"/>
      <c r="ET608" s="674"/>
      <c r="EU608" s="674"/>
      <c r="EV608" s="674"/>
      <c r="EW608" s="674"/>
      <c r="EX608" s="674"/>
      <c r="EY608" s="674"/>
      <c r="EZ608" s="674"/>
      <c r="FA608" s="674"/>
      <c r="FB608" s="879" t="s">
        <v>3146</v>
      </c>
      <c r="FC608" s="879"/>
      <c r="FD608" s="879"/>
      <c r="FE608" s="674"/>
      <c r="FF608" s="674"/>
      <c r="FG608" s="674"/>
      <c r="FH608" s="674"/>
      <c r="FI608" s="674"/>
      <c r="FJ608" s="674"/>
      <c r="FK608" s="674"/>
      <c r="FL608" s="674"/>
      <c r="FM608" s="674"/>
      <c r="FN608" s="674"/>
      <c r="FO608" s="674"/>
      <c r="FP608" s="674"/>
      <c r="FQ608" s="674"/>
      <c r="FR608" s="674"/>
      <c r="FS608" s="674"/>
      <c r="FT608" s="674"/>
      <c r="FU608" s="674"/>
      <c r="FV608" s="674"/>
      <c r="FW608" s="674"/>
      <c r="FX608" s="674"/>
      <c r="FY608" s="674"/>
      <c r="FZ608" s="674"/>
      <c r="GA608" s="674"/>
    </row>
    <row r="609" spans="1:183" x14ac:dyDescent="0.25">
      <c r="A609" s="674"/>
      <c r="B609" s="675" t="s">
        <v>3147</v>
      </c>
      <c r="C609" s="675" t="s">
        <v>3148</v>
      </c>
      <c r="D609" s="675" t="s">
        <v>3149</v>
      </c>
      <c r="E609" s="675" t="s">
        <v>3150</v>
      </c>
      <c r="F609" s="675" t="s">
        <v>3151</v>
      </c>
      <c r="G609" s="675" t="s">
        <v>364</v>
      </c>
      <c r="H609" s="675" t="s">
        <v>3152</v>
      </c>
      <c r="I609" s="675" t="s">
        <v>3153</v>
      </c>
      <c r="J609" s="675" t="s">
        <v>3099</v>
      </c>
      <c r="K609" s="675" t="s">
        <v>3154</v>
      </c>
      <c r="L609" s="675" t="s">
        <v>3155</v>
      </c>
      <c r="M609" s="675" t="s">
        <v>3157</v>
      </c>
      <c r="N609" s="675" t="s">
        <v>3156</v>
      </c>
      <c r="O609" s="675" t="s">
        <v>3158</v>
      </c>
      <c r="P609" s="675" t="s">
        <v>3159</v>
      </c>
      <c r="Q609" s="675" t="s">
        <v>3160</v>
      </c>
      <c r="R609" s="675" t="s">
        <v>3120</v>
      </c>
      <c r="S609" s="675" t="s">
        <v>3117</v>
      </c>
      <c r="T609" s="675" t="s">
        <v>3119</v>
      </c>
      <c r="U609" s="675" t="s">
        <v>3161</v>
      </c>
      <c r="V609" s="675" t="s">
        <v>3162</v>
      </c>
      <c r="W609" s="675" t="s">
        <v>3163</v>
      </c>
      <c r="X609" s="675" t="s">
        <v>3164</v>
      </c>
      <c r="Y609" s="675" t="s">
        <v>3165</v>
      </c>
      <c r="Z609" s="675" t="s">
        <v>3166</v>
      </c>
      <c r="AA609" s="675" t="s">
        <v>3167</v>
      </c>
      <c r="AB609" s="675" t="s">
        <v>3147</v>
      </c>
      <c r="AC609" s="675" t="s">
        <v>3148</v>
      </c>
      <c r="AD609" s="675" t="s">
        <v>3149</v>
      </c>
      <c r="AE609" s="675" t="s">
        <v>3150</v>
      </c>
      <c r="AF609" s="675" t="s">
        <v>3151</v>
      </c>
      <c r="AG609" s="675" t="s">
        <v>364</v>
      </c>
      <c r="AH609" s="675" t="s">
        <v>3152</v>
      </c>
      <c r="AI609" s="675" t="s">
        <v>3153</v>
      </c>
      <c r="AJ609" s="675" t="s">
        <v>3099</v>
      </c>
      <c r="AK609" s="675" t="s">
        <v>3154</v>
      </c>
      <c r="AL609" s="675" t="s">
        <v>3155</v>
      </c>
      <c r="AM609" s="675" t="s">
        <v>3157</v>
      </c>
      <c r="AN609" s="675" t="s">
        <v>3156</v>
      </c>
      <c r="AO609" s="675" t="s">
        <v>3158</v>
      </c>
      <c r="AP609" s="675" t="s">
        <v>3159</v>
      </c>
      <c r="AQ609" s="675" t="s">
        <v>3160</v>
      </c>
      <c r="AR609" s="675" t="s">
        <v>3120</v>
      </c>
      <c r="AS609" s="675" t="s">
        <v>3117</v>
      </c>
      <c r="AT609" s="675" t="s">
        <v>3119</v>
      </c>
      <c r="AU609" s="675" t="s">
        <v>3161</v>
      </c>
      <c r="AV609" s="675" t="s">
        <v>3162</v>
      </c>
      <c r="AW609" s="675" t="s">
        <v>3163</v>
      </c>
      <c r="AX609" s="675" t="s">
        <v>3164</v>
      </c>
      <c r="AY609" s="675" t="s">
        <v>3165</v>
      </c>
      <c r="AZ609" s="675" t="s">
        <v>3166</v>
      </c>
      <c r="BA609" s="675" t="s">
        <v>3167</v>
      </c>
      <c r="BB609" s="675" t="s">
        <v>3147</v>
      </c>
      <c r="BC609" s="675" t="s">
        <v>3148</v>
      </c>
      <c r="BD609" s="675" t="s">
        <v>3149</v>
      </c>
      <c r="BE609" s="675" t="s">
        <v>3150</v>
      </c>
      <c r="BF609" s="675" t="s">
        <v>3151</v>
      </c>
      <c r="BG609" s="675" t="s">
        <v>364</v>
      </c>
      <c r="BH609" s="675" t="s">
        <v>3152</v>
      </c>
      <c r="BI609" s="675" t="s">
        <v>3153</v>
      </c>
      <c r="BJ609" s="675" t="s">
        <v>3099</v>
      </c>
      <c r="BK609" s="675" t="s">
        <v>3154</v>
      </c>
      <c r="BL609" s="675" t="s">
        <v>3155</v>
      </c>
      <c r="BM609" s="675" t="s">
        <v>3157</v>
      </c>
      <c r="BN609" s="675" t="s">
        <v>3156</v>
      </c>
      <c r="BO609" s="675" t="s">
        <v>3158</v>
      </c>
      <c r="BP609" s="675" t="s">
        <v>3159</v>
      </c>
      <c r="BQ609" s="675" t="s">
        <v>3160</v>
      </c>
      <c r="BR609" s="675" t="s">
        <v>3120</v>
      </c>
      <c r="BS609" s="675" t="s">
        <v>3117</v>
      </c>
      <c r="BT609" s="675" t="s">
        <v>3119</v>
      </c>
      <c r="BU609" s="675" t="s">
        <v>3161</v>
      </c>
      <c r="BV609" s="675" t="s">
        <v>3162</v>
      </c>
      <c r="BW609" s="675" t="s">
        <v>3163</v>
      </c>
      <c r="BX609" s="675" t="s">
        <v>3164</v>
      </c>
      <c r="BY609" s="675" t="s">
        <v>3165</v>
      </c>
      <c r="BZ609" s="675" t="s">
        <v>3166</v>
      </c>
      <c r="CA609" s="675" t="s">
        <v>3167</v>
      </c>
      <c r="CB609" s="675" t="s">
        <v>3147</v>
      </c>
      <c r="CC609" s="675" t="s">
        <v>3148</v>
      </c>
      <c r="CD609" s="675" t="s">
        <v>3149</v>
      </c>
      <c r="CE609" s="675" t="s">
        <v>3150</v>
      </c>
      <c r="CF609" s="675" t="s">
        <v>3151</v>
      </c>
      <c r="CG609" s="675" t="s">
        <v>364</v>
      </c>
      <c r="CH609" s="675" t="s">
        <v>3152</v>
      </c>
      <c r="CI609" s="675" t="s">
        <v>3153</v>
      </c>
      <c r="CJ609" s="675" t="s">
        <v>3099</v>
      </c>
      <c r="CK609" s="675" t="s">
        <v>3154</v>
      </c>
      <c r="CL609" s="675" t="s">
        <v>3155</v>
      </c>
      <c r="CM609" s="675" t="s">
        <v>3157</v>
      </c>
      <c r="CN609" s="675" t="s">
        <v>3156</v>
      </c>
      <c r="CO609" s="675" t="s">
        <v>3158</v>
      </c>
      <c r="CP609" s="675" t="s">
        <v>3159</v>
      </c>
      <c r="CQ609" s="675" t="s">
        <v>3160</v>
      </c>
      <c r="CR609" s="675" t="s">
        <v>3120</v>
      </c>
      <c r="CS609" s="675" t="s">
        <v>3117</v>
      </c>
      <c r="CT609" s="675" t="s">
        <v>3119</v>
      </c>
      <c r="CU609" s="675" t="s">
        <v>3161</v>
      </c>
      <c r="CV609" s="675" t="s">
        <v>3162</v>
      </c>
      <c r="CW609" s="675" t="s">
        <v>3163</v>
      </c>
      <c r="CX609" s="675" t="s">
        <v>3164</v>
      </c>
      <c r="CY609" s="675" t="s">
        <v>3165</v>
      </c>
      <c r="CZ609" s="675" t="s">
        <v>3166</v>
      </c>
      <c r="DA609" s="675" t="s">
        <v>3167</v>
      </c>
      <c r="DB609" s="675" t="s">
        <v>3147</v>
      </c>
      <c r="DC609" s="675" t="s">
        <v>3148</v>
      </c>
      <c r="DD609" s="675" t="s">
        <v>3149</v>
      </c>
      <c r="DE609" s="675" t="s">
        <v>3150</v>
      </c>
      <c r="DF609" s="675" t="s">
        <v>3151</v>
      </c>
      <c r="DG609" s="675" t="s">
        <v>364</v>
      </c>
      <c r="DH609" s="675" t="s">
        <v>3152</v>
      </c>
      <c r="DI609" s="675" t="s">
        <v>3153</v>
      </c>
      <c r="DJ609" s="675" t="s">
        <v>3099</v>
      </c>
      <c r="DK609" s="675" t="s">
        <v>3154</v>
      </c>
      <c r="DL609" s="675" t="s">
        <v>3155</v>
      </c>
      <c r="DM609" s="675" t="s">
        <v>3157</v>
      </c>
      <c r="DN609" s="675" t="s">
        <v>3156</v>
      </c>
      <c r="DO609" s="675" t="s">
        <v>3158</v>
      </c>
      <c r="DP609" s="675" t="s">
        <v>3159</v>
      </c>
      <c r="DQ609" s="675" t="s">
        <v>3160</v>
      </c>
      <c r="DR609" s="675" t="s">
        <v>3120</v>
      </c>
      <c r="DS609" s="675" t="s">
        <v>3117</v>
      </c>
      <c r="DT609" s="675" t="s">
        <v>3119</v>
      </c>
      <c r="DU609" s="675" t="s">
        <v>3161</v>
      </c>
      <c r="DV609" s="675" t="s">
        <v>3162</v>
      </c>
      <c r="DW609" s="675" t="s">
        <v>3163</v>
      </c>
      <c r="DX609" s="675" t="s">
        <v>3164</v>
      </c>
      <c r="DY609" s="675" t="s">
        <v>3165</v>
      </c>
      <c r="DZ609" s="675" t="s">
        <v>3166</v>
      </c>
      <c r="EA609" s="675" t="s">
        <v>3167</v>
      </c>
      <c r="EB609" s="675" t="s">
        <v>3147</v>
      </c>
      <c r="EC609" s="675" t="s">
        <v>3148</v>
      </c>
      <c r="ED609" s="675" t="s">
        <v>3149</v>
      </c>
      <c r="EE609" s="675" t="s">
        <v>3150</v>
      </c>
      <c r="EF609" s="675" t="s">
        <v>3151</v>
      </c>
      <c r="EG609" s="675" t="s">
        <v>364</v>
      </c>
      <c r="EH609" s="675" t="s">
        <v>3152</v>
      </c>
      <c r="EI609" s="675" t="s">
        <v>3153</v>
      </c>
      <c r="EJ609" s="675" t="s">
        <v>3099</v>
      </c>
      <c r="EK609" s="675" t="s">
        <v>3154</v>
      </c>
      <c r="EL609" s="675" t="s">
        <v>3155</v>
      </c>
      <c r="EM609" s="675" t="s">
        <v>3157</v>
      </c>
      <c r="EN609" s="675" t="s">
        <v>3156</v>
      </c>
      <c r="EO609" s="675" t="s">
        <v>3158</v>
      </c>
      <c r="EP609" s="675" t="s">
        <v>3159</v>
      </c>
      <c r="EQ609" s="675" t="s">
        <v>3160</v>
      </c>
      <c r="ER609" s="675" t="s">
        <v>3120</v>
      </c>
      <c r="ES609" s="675" t="s">
        <v>3117</v>
      </c>
      <c r="ET609" s="675" t="s">
        <v>3119</v>
      </c>
      <c r="EU609" s="675" t="s">
        <v>3161</v>
      </c>
      <c r="EV609" s="675" t="s">
        <v>3162</v>
      </c>
      <c r="EW609" s="675" t="s">
        <v>3163</v>
      </c>
      <c r="EX609" s="675" t="s">
        <v>3164</v>
      </c>
      <c r="EY609" s="675" t="s">
        <v>3165</v>
      </c>
      <c r="EZ609" s="675" t="s">
        <v>3166</v>
      </c>
      <c r="FA609" s="675" t="s">
        <v>3167</v>
      </c>
      <c r="FB609" s="675" t="s">
        <v>3147</v>
      </c>
      <c r="FC609" s="675" t="s">
        <v>3148</v>
      </c>
      <c r="FD609" s="675" t="s">
        <v>3149</v>
      </c>
      <c r="FE609" s="675" t="s">
        <v>3150</v>
      </c>
      <c r="FF609" s="675" t="s">
        <v>3151</v>
      </c>
      <c r="FG609" s="675" t="s">
        <v>364</v>
      </c>
      <c r="FH609" s="675" t="s">
        <v>3152</v>
      </c>
      <c r="FI609" s="675" t="s">
        <v>3153</v>
      </c>
      <c r="FJ609" s="675" t="s">
        <v>3099</v>
      </c>
      <c r="FK609" s="675" t="s">
        <v>3154</v>
      </c>
      <c r="FL609" s="675" t="s">
        <v>3155</v>
      </c>
      <c r="FM609" s="675" t="s">
        <v>3157</v>
      </c>
      <c r="FN609" s="675" t="s">
        <v>3156</v>
      </c>
      <c r="FO609" s="675" t="s">
        <v>3158</v>
      </c>
      <c r="FP609" s="675" t="s">
        <v>3159</v>
      </c>
      <c r="FQ609" s="675" t="s">
        <v>3160</v>
      </c>
      <c r="FR609" s="675" t="s">
        <v>3120</v>
      </c>
      <c r="FS609" s="675" t="s">
        <v>3117</v>
      </c>
      <c r="FT609" s="675" t="s">
        <v>3119</v>
      </c>
      <c r="FU609" s="675" t="s">
        <v>3161</v>
      </c>
      <c r="FV609" s="675" t="s">
        <v>3162</v>
      </c>
      <c r="FW609" s="675" t="s">
        <v>3163</v>
      </c>
      <c r="FX609" s="675" t="s">
        <v>3164</v>
      </c>
      <c r="FY609" s="675" t="s">
        <v>3165</v>
      </c>
      <c r="FZ609" s="675" t="s">
        <v>3166</v>
      </c>
      <c r="GA609" s="675" t="s">
        <v>3167</v>
      </c>
    </row>
    <row r="610" spans="1:183" ht="15.6" x14ac:dyDescent="0.3">
      <c r="A610" s="676" t="s">
        <v>412</v>
      </c>
    </row>
    <row r="611" spans="1:183" ht="15.6" x14ac:dyDescent="0.3">
      <c r="A611" s="676" t="s">
        <v>2986</v>
      </c>
    </row>
    <row r="612" spans="1:183" ht="15.6" x14ac:dyDescent="0.3">
      <c r="A612" s="676" t="s">
        <v>2987</v>
      </c>
    </row>
    <row r="613" spans="1:183" ht="15.6" x14ac:dyDescent="0.3">
      <c r="A613" s="676" t="s">
        <v>2988</v>
      </c>
    </row>
    <row r="614" spans="1:183" ht="15.6" x14ac:dyDescent="0.3">
      <c r="A614" s="676" t="s">
        <v>2989</v>
      </c>
    </row>
    <row r="615" spans="1:183" ht="15.6" x14ac:dyDescent="0.3">
      <c r="A615" s="676" t="s">
        <v>2990</v>
      </c>
    </row>
    <row r="616" spans="1:183" ht="15.6" x14ac:dyDescent="0.3">
      <c r="A616" s="676" t="s">
        <v>2991</v>
      </c>
    </row>
    <row r="617" spans="1:183" ht="15.6" x14ac:dyDescent="0.3">
      <c r="A617" s="676" t="s">
        <v>2992</v>
      </c>
    </row>
    <row r="618" spans="1:183" ht="15.6" x14ac:dyDescent="0.3">
      <c r="A618" s="676" t="s">
        <v>2993</v>
      </c>
    </row>
    <row r="619" spans="1:183" ht="15.6" x14ac:dyDescent="0.3">
      <c r="A619" s="676" t="s">
        <v>2994</v>
      </c>
    </row>
    <row r="620" spans="1:183" ht="15.6" x14ac:dyDescent="0.3">
      <c r="A620" s="676" t="s">
        <v>2995</v>
      </c>
    </row>
    <row r="621" spans="1:183" ht="15.6" x14ac:dyDescent="0.3">
      <c r="A621" s="676" t="s">
        <v>2996</v>
      </c>
    </row>
    <row r="622" spans="1:183" ht="15.6" x14ac:dyDescent="0.3">
      <c r="A622" s="676" t="s">
        <v>2997</v>
      </c>
    </row>
    <row r="623" spans="1:183" ht="15.6" x14ac:dyDescent="0.3">
      <c r="A623" s="676" t="s">
        <v>2998</v>
      </c>
    </row>
    <row r="624" spans="1:183" ht="15.6" x14ac:dyDescent="0.3">
      <c r="A624" s="676" t="s">
        <v>2999</v>
      </c>
    </row>
    <row r="625" spans="1:1" ht="15.6" x14ac:dyDescent="0.3">
      <c r="A625" s="676" t="s">
        <v>3000</v>
      </c>
    </row>
    <row r="626" spans="1:1" ht="15.6" x14ac:dyDescent="0.3">
      <c r="A626" s="676" t="s">
        <v>3001</v>
      </c>
    </row>
    <row r="627" spans="1:1" ht="15.6" x14ac:dyDescent="0.3">
      <c r="A627" s="676" t="s">
        <v>3002</v>
      </c>
    </row>
    <row r="628" spans="1:1" ht="15.6" x14ac:dyDescent="0.3">
      <c r="A628" s="676" t="s">
        <v>3003</v>
      </c>
    </row>
    <row r="629" spans="1:1" ht="15.6" x14ac:dyDescent="0.3">
      <c r="A629" s="676" t="s">
        <v>3004</v>
      </c>
    </row>
    <row r="630" spans="1:1" ht="15.6" x14ac:dyDescent="0.3">
      <c r="A630" s="676" t="s">
        <v>3005</v>
      </c>
    </row>
    <row r="631" spans="1:1" ht="15.6" x14ac:dyDescent="0.3">
      <c r="A631" s="676" t="s">
        <v>3006</v>
      </c>
    </row>
    <row r="632" spans="1:1" ht="15.6" x14ac:dyDescent="0.3">
      <c r="A632" s="676" t="s">
        <v>3007</v>
      </c>
    </row>
    <row r="633" spans="1:1" ht="15.6" x14ac:dyDescent="0.3">
      <c r="A633" s="676" t="s">
        <v>3008</v>
      </c>
    </row>
    <row r="634" spans="1:1" ht="15.6" x14ac:dyDescent="0.3">
      <c r="A634" s="676" t="s">
        <v>3009</v>
      </c>
    </row>
    <row r="635" spans="1:1" ht="15.6" x14ac:dyDescent="0.3">
      <c r="A635" s="676" t="s">
        <v>3010</v>
      </c>
    </row>
    <row r="636" spans="1:1" ht="15.6" x14ac:dyDescent="0.3">
      <c r="A636" s="676" t="s">
        <v>3011</v>
      </c>
    </row>
    <row r="637" spans="1:1" ht="15.6" x14ac:dyDescent="0.3">
      <c r="A637" s="676" t="s">
        <v>3012</v>
      </c>
    </row>
    <row r="638" spans="1:1" ht="15.6" x14ac:dyDescent="0.3">
      <c r="A638" s="676" t="s">
        <v>3013</v>
      </c>
    </row>
    <row r="639" spans="1:1" ht="15.6" x14ac:dyDescent="0.3">
      <c r="A639" s="676" t="s">
        <v>3014</v>
      </c>
    </row>
    <row r="640" spans="1:1" ht="15.6" x14ac:dyDescent="0.3">
      <c r="A640" s="676" t="s">
        <v>3015</v>
      </c>
    </row>
    <row r="641" spans="1:1" ht="15.6" x14ac:dyDescent="0.3">
      <c r="A641" s="676" t="s">
        <v>3016</v>
      </c>
    </row>
    <row r="642" spans="1:1" ht="15.6" x14ac:dyDescent="0.3">
      <c r="A642" s="676" t="s">
        <v>3017</v>
      </c>
    </row>
    <row r="643" spans="1:1" ht="15.6" x14ac:dyDescent="0.3">
      <c r="A643" s="676" t="s">
        <v>3018</v>
      </c>
    </row>
    <row r="644" spans="1:1" ht="15.6" x14ac:dyDescent="0.3">
      <c r="A644" s="676" t="s">
        <v>3019</v>
      </c>
    </row>
    <row r="645" spans="1:1" ht="15.6" x14ac:dyDescent="0.3">
      <c r="A645" s="676" t="s">
        <v>3020</v>
      </c>
    </row>
    <row r="646" spans="1:1" ht="15.6" x14ac:dyDescent="0.3">
      <c r="A646" s="676" t="s">
        <v>3021</v>
      </c>
    </row>
    <row r="647" spans="1:1" ht="15.6" x14ac:dyDescent="0.3">
      <c r="A647" s="676" t="s">
        <v>3022</v>
      </c>
    </row>
    <row r="648" spans="1:1" ht="15.6" x14ac:dyDescent="0.3">
      <c r="A648" s="676" t="s">
        <v>3023</v>
      </c>
    </row>
    <row r="649" spans="1:1" ht="15.6" x14ac:dyDescent="0.3">
      <c r="A649" s="676" t="s">
        <v>3024</v>
      </c>
    </row>
    <row r="650" spans="1:1" ht="15.6" x14ac:dyDescent="0.3">
      <c r="A650" s="676" t="s">
        <v>3025</v>
      </c>
    </row>
    <row r="651" spans="1:1" ht="15.6" x14ac:dyDescent="0.3">
      <c r="A651" s="676" t="s">
        <v>3026</v>
      </c>
    </row>
    <row r="652" spans="1:1" ht="15.6" x14ac:dyDescent="0.3">
      <c r="A652" s="676" t="s">
        <v>3027</v>
      </c>
    </row>
    <row r="653" spans="1:1" ht="15.6" x14ac:dyDescent="0.3">
      <c r="A653" s="676" t="s">
        <v>3028</v>
      </c>
    </row>
    <row r="654" spans="1:1" ht="15.6" x14ac:dyDescent="0.3">
      <c r="A654" s="676" t="s">
        <v>3029</v>
      </c>
    </row>
    <row r="655" spans="1:1" ht="15.6" x14ac:dyDescent="0.3">
      <c r="A655" s="676" t="s">
        <v>3030</v>
      </c>
    </row>
    <row r="656" spans="1:1" ht="15.6" x14ac:dyDescent="0.3">
      <c r="A656" s="676" t="s">
        <v>3031</v>
      </c>
    </row>
    <row r="657" spans="1:1" ht="15.6" x14ac:dyDescent="0.3">
      <c r="A657" s="676" t="s">
        <v>3032</v>
      </c>
    </row>
    <row r="658" spans="1:1" ht="15.6" x14ac:dyDescent="0.3">
      <c r="A658" s="676" t="s">
        <v>3033</v>
      </c>
    </row>
    <row r="659" spans="1:1" ht="15.6" x14ac:dyDescent="0.3">
      <c r="A659" s="676" t="s">
        <v>3034</v>
      </c>
    </row>
    <row r="660" spans="1:1" ht="15.6" x14ac:dyDescent="0.3">
      <c r="A660" s="676" t="s">
        <v>3035</v>
      </c>
    </row>
    <row r="661" spans="1:1" ht="15.6" x14ac:dyDescent="0.3">
      <c r="A661" s="676" t="s">
        <v>3036</v>
      </c>
    </row>
    <row r="662" spans="1:1" ht="15.6" x14ac:dyDescent="0.3">
      <c r="A662" s="676" t="s">
        <v>3037</v>
      </c>
    </row>
    <row r="663" spans="1:1" ht="15.6" x14ac:dyDescent="0.3">
      <c r="A663" s="676" t="s">
        <v>3038</v>
      </c>
    </row>
    <row r="664" spans="1:1" ht="15.6" x14ac:dyDescent="0.3">
      <c r="A664" s="676" t="s">
        <v>3039</v>
      </c>
    </row>
    <row r="665" spans="1:1" ht="15.6" x14ac:dyDescent="0.3">
      <c r="A665" s="676" t="s">
        <v>3040</v>
      </c>
    </row>
    <row r="666" spans="1:1" ht="15.6" x14ac:dyDescent="0.3">
      <c r="A666" s="676" t="s">
        <v>3041</v>
      </c>
    </row>
    <row r="667" spans="1:1" ht="15.6" x14ac:dyDescent="0.3">
      <c r="A667" s="676" t="s">
        <v>3042</v>
      </c>
    </row>
    <row r="668" spans="1:1" ht="15.6" x14ac:dyDescent="0.3">
      <c r="A668" s="676" t="s">
        <v>3043</v>
      </c>
    </row>
    <row r="669" spans="1:1" ht="15.6" x14ac:dyDescent="0.3">
      <c r="A669" s="676" t="s">
        <v>3044</v>
      </c>
    </row>
    <row r="670" spans="1:1" ht="15.6" x14ac:dyDescent="0.3">
      <c r="A670" s="676" t="s">
        <v>3045</v>
      </c>
    </row>
    <row r="671" spans="1:1" ht="15.6" x14ac:dyDescent="0.3">
      <c r="A671" s="676" t="s">
        <v>3046</v>
      </c>
    </row>
    <row r="672" spans="1:1" ht="15.6" x14ac:dyDescent="0.3">
      <c r="A672" s="676" t="s">
        <v>3047</v>
      </c>
    </row>
    <row r="673" spans="1:1" ht="15.6" x14ac:dyDescent="0.3">
      <c r="A673" s="676" t="s">
        <v>3048</v>
      </c>
    </row>
    <row r="674" spans="1:1" ht="15.6" x14ac:dyDescent="0.3">
      <c r="A674" s="676" t="s">
        <v>3049</v>
      </c>
    </row>
    <row r="675" spans="1:1" ht="15.6" x14ac:dyDescent="0.3">
      <c r="A675" s="676" t="s">
        <v>3050</v>
      </c>
    </row>
    <row r="676" spans="1:1" ht="15.6" x14ac:dyDescent="0.3">
      <c r="A676" s="676" t="s">
        <v>3051</v>
      </c>
    </row>
    <row r="677" spans="1:1" ht="15.6" x14ac:dyDescent="0.3">
      <c r="A677" s="676" t="s">
        <v>3052</v>
      </c>
    </row>
    <row r="678" spans="1:1" ht="15.6" x14ac:dyDescent="0.3">
      <c r="A678" s="676" t="s">
        <v>3053</v>
      </c>
    </row>
    <row r="679" spans="1:1" ht="15.6" x14ac:dyDescent="0.3">
      <c r="A679" s="676" t="s">
        <v>3054</v>
      </c>
    </row>
    <row r="680" spans="1:1" ht="15.6" x14ac:dyDescent="0.3">
      <c r="A680" s="676" t="s">
        <v>3055</v>
      </c>
    </row>
    <row r="681" spans="1:1" ht="15.6" x14ac:dyDescent="0.3">
      <c r="A681" s="676" t="s">
        <v>3056</v>
      </c>
    </row>
    <row r="682" spans="1:1" ht="15.6" x14ac:dyDescent="0.3">
      <c r="A682" s="676" t="s">
        <v>3057</v>
      </c>
    </row>
    <row r="683" spans="1:1" ht="15.6" x14ac:dyDescent="0.3">
      <c r="A683" s="676" t="s">
        <v>3058</v>
      </c>
    </row>
    <row r="684" spans="1:1" ht="15.6" x14ac:dyDescent="0.3">
      <c r="A684" s="676" t="s">
        <v>3059</v>
      </c>
    </row>
    <row r="685" spans="1:1" ht="15.6" x14ac:dyDescent="0.3">
      <c r="A685" s="676" t="s">
        <v>3060</v>
      </c>
    </row>
    <row r="686" spans="1:1" ht="15.6" x14ac:dyDescent="0.3">
      <c r="A686" s="676" t="s">
        <v>3061</v>
      </c>
    </row>
    <row r="687" spans="1:1" ht="15.6" x14ac:dyDescent="0.3">
      <c r="A687" s="676" t="s">
        <v>3062</v>
      </c>
    </row>
    <row r="688" spans="1:1" ht="15.6" x14ac:dyDescent="0.3">
      <c r="A688" s="676" t="s">
        <v>3063</v>
      </c>
    </row>
    <row r="689" spans="1:1" ht="15.6" x14ac:dyDescent="0.3">
      <c r="A689" s="676" t="s">
        <v>3064</v>
      </c>
    </row>
    <row r="690" spans="1:1" ht="15.6" x14ac:dyDescent="0.3">
      <c r="A690" s="676" t="s">
        <v>3065</v>
      </c>
    </row>
    <row r="691" spans="1:1" ht="15.6" x14ac:dyDescent="0.3">
      <c r="A691" s="676" t="s">
        <v>3066</v>
      </c>
    </row>
    <row r="692" spans="1:1" ht="15.6" x14ac:dyDescent="0.3">
      <c r="A692" s="676" t="s">
        <v>3067</v>
      </c>
    </row>
    <row r="693" spans="1:1" ht="15.6" x14ac:dyDescent="0.3">
      <c r="A693" s="676" t="s">
        <v>3068</v>
      </c>
    </row>
    <row r="694" spans="1:1" ht="15.6" x14ac:dyDescent="0.3">
      <c r="A694" s="676" t="s">
        <v>3069</v>
      </c>
    </row>
    <row r="695" spans="1:1" ht="15.6" x14ac:dyDescent="0.3">
      <c r="A695" s="676" t="s">
        <v>3070</v>
      </c>
    </row>
    <row r="696" spans="1:1" ht="15.6" x14ac:dyDescent="0.3">
      <c r="A696" s="676" t="s">
        <v>3071</v>
      </c>
    </row>
    <row r="697" spans="1:1" ht="15.6" x14ac:dyDescent="0.3">
      <c r="A697" s="676" t="s">
        <v>3072</v>
      </c>
    </row>
    <row r="698" spans="1:1" ht="15.6" x14ac:dyDescent="0.3">
      <c r="A698" s="676" t="s">
        <v>3073</v>
      </c>
    </row>
    <row r="699" spans="1:1" ht="15.6" x14ac:dyDescent="0.3">
      <c r="A699" s="676" t="s">
        <v>3074</v>
      </c>
    </row>
    <row r="700" spans="1:1" ht="15.6" x14ac:dyDescent="0.3">
      <c r="A700" s="676" t="s">
        <v>3075</v>
      </c>
    </row>
    <row r="701" spans="1:1" ht="15.6" x14ac:dyDescent="0.3">
      <c r="A701" s="676" t="s">
        <v>3076</v>
      </c>
    </row>
    <row r="702" spans="1:1" ht="15.6" x14ac:dyDescent="0.3">
      <c r="A702" s="676" t="s">
        <v>3077</v>
      </c>
    </row>
    <row r="703" spans="1:1" ht="15.6" x14ac:dyDescent="0.3">
      <c r="A703" s="676" t="s">
        <v>3078</v>
      </c>
    </row>
  </sheetData>
  <mergeCells count="98">
    <mergeCell ref="EB7:FA7"/>
    <mergeCell ref="FB7:GA7"/>
    <mergeCell ref="B7:AA7"/>
    <mergeCell ref="AB7:BA7"/>
    <mergeCell ref="BB7:CA7"/>
    <mergeCell ref="CB7:DA7"/>
    <mergeCell ref="DB7:EA7"/>
    <mergeCell ref="FB8:FD8"/>
    <mergeCell ref="B106:AA106"/>
    <mergeCell ref="AB106:BA106"/>
    <mergeCell ref="BB106:CA106"/>
    <mergeCell ref="CB106:DA106"/>
    <mergeCell ref="DB106:EA106"/>
    <mergeCell ref="EB106:FA106"/>
    <mergeCell ref="FB106:GA106"/>
    <mergeCell ref="B8:D8"/>
    <mergeCell ref="AB8:AD8"/>
    <mergeCell ref="BB8:BD8"/>
    <mergeCell ref="CB8:CD8"/>
    <mergeCell ref="DB8:DD8"/>
    <mergeCell ref="EB8:ED8"/>
    <mergeCell ref="FB107:FD107"/>
    <mergeCell ref="B206:AA206"/>
    <mergeCell ref="AB206:BA206"/>
    <mergeCell ref="BB206:CA206"/>
    <mergeCell ref="CB206:DA206"/>
    <mergeCell ref="DB206:EA206"/>
    <mergeCell ref="EB206:FA206"/>
    <mergeCell ref="FB206:GA206"/>
    <mergeCell ref="B107:D107"/>
    <mergeCell ref="AB107:AD107"/>
    <mergeCell ref="BB107:BD107"/>
    <mergeCell ref="CB107:CD107"/>
    <mergeCell ref="DB107:DD107"/>
    <mergeCell ref="EB107:ED107"/>
    <mergeCell ref="FB207:FD207"/>
    <mergeCell ref="B306:AA306"/>
    <mergeCell ref="AB306:BA306"/>
    <mergeCell ref="BB306:CA306"/>
    <mergeCell ref="CB306:DA306"/>
    <mergeCell ref="DB306:EA306"/>
    <mergeCell ref="EB306:FA306"/>
    <mergeCell ref="FB306:GA306"/>
    <mergeCell ref="B207:D207"/>
    <mergeCell ref="AB207:AD207"/>
    <mergeCell ref="BB207:BD207"/>
    <mergeCell ref="CB207:CD207"/>
    <mergeCell ref="DB207:DD207"/>
    <mergeCell ref="EB207:ED207"/>
    <mergeCell ref="FB307:FD307"/>
    <mergeCell ref="B406:AA406"/>
    <mergeCell ref="AB406:BA406"/>
    <mergeCell ref="BB406:CA406"/>
    <mergeCell ref="CB406:DA406"/>
    <mergeCell ref="DB406:EA406"/>
    <mergeCell ref="EB406:FA406"/>
    <mergeCell ref="FB406:GA406"/>
    <mergeCell ref="B307:D307"/>
    <mergeCell ref="AB307:AD307"/>
    <mergeCell ref="BB307:BD307"/>
    <mergeCell ref="CB307:CD307"/>
    <mergeCell ref="DB307:DD307"/>
    <mergeCell ref="EB307:ED307"/>
    <mergeCell ref="FB407:FD407"/>
    <mergeCell ref="B506:AA506"/>
    <mergeCell ref="AB506:BA506"/>
    <mergeCell ref="BB506:CA506"/>
    <mergeCell ref="CB506:DA506"/>
    <mergeCell ref="DB506:EA506"/>
    <mergeCell ref="EB506:FA506"/>
    <mergeCell ref="FB506:GA506"/>
    <mergeCell ref="B407:D407"/>
    <mergeCell ref="AB407:AD407"/>
    <mergeCell ref="BB407:BD407"/>
    <mergeCell ref="CB407:CD407"/>
    <mergeCell ref="DB407:DD407"/>
    <mergeCell ref="EB407:ED407"/>
    <mergeCell ref="FB507:FD507"/>
    <mergeCell ref="B607:AA607"/>
    <mergeCell ref="AB607:BA607"/>
    <mergeCell ref="BB607:CA607"/>
    <mergeCell ref="CB607:DA607"/>
    <mergeCell ref="DB607:EA607"/>
    <mergeCell ref="EB607:FA607"/>
    <mergeCell ref="FB607:GA607"/>
    <mergeCell ref="B507:D507"/>
    <mergeCell ref="AB507:AD507"/>
    <mergeCell ref="BB507:BD507"/>
    <mergeCell ref="CB507:CD507"/>
    <mergeCell ref="DB507:DD507"/>
    <mergeCell ref="EB507:ED507"/>
    <mergeCell ref="FB608:FD608"/>
    <mergeCell ref="B608:D608"/>
    <mergeCell ref="AB608:AD608"/>
    <mergeCell ref="BB608:BD608"/>
    <mergeCell ref="CB608:CD608"/>
    <mergeCell ref="DB608:DD608"/>
    <mergeCell ref="EB608:ED60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/>
  <dimension ref="A1:J58"/>
  <sheetViews>
    <sheetView showGridLines="0" workbookViewId="0">
      <selection activeCell="D12" sqref="D12"/>
    </sheetView>
  </sheetViews>
  <sheetFormatPr defaultColWidth="8.77734375" defaultRowHeight="10.199999999999999" x14ac:dyDescent="0.2"/>
  <cols>
    <col min="1" max="1" width="24.21875" style="365" customWidth="1"/>
    <col min="2" max="2" width="12.77734375" style="365" customWidth="1"/>
    <col min="3" max="3" width="4.77734375" style="365" customWidth="1"/>
    <col min="4" max="4" width="17" style="365" bestFit="1" customWidth="1"/>
    <col min="5" max="6" width="13.77734375" style="365" customWidth="1"/>
    <col min="7" max="7" width="14.5546875" style="365" customWidth="1"/>
    <col min="8" max="8" width="13.77734375" style="365" customWidth="1"/>
    <col min="9" max="10" width="12" style="365" bestFit="1" customWidth="1"/>
    <col min="11" max="11" width="16.44140625" style="365" bestFit="1" customWidth="1"/>
    <col min="12" max="12" width="14.77734375" style="365" customWidth="1"/>
    <col min="13" max="15" width="12" style="365" bestFit="1" customWidth="1"/>
    <col min="16" max="16384" width="8.77734375" style="365"/>
  </cols>
  <sheetData>
    <row r="1" spans="1:8" x14ac:dyDescent="0.2">
      <c r="D1" s="406" t="e">
        <f>Input!#REF!</f>
        <v>#REF!</v>
      </c>
      <c r="E1" s="406" t="e">
        <f>Input!#REF!</f>
        <v>#REF!</v>
      </c>
      <c r="F1" s="406" t="e">
        <f>Input!#REF!</f>
        <v>#REF!</v>
      </c>
      <c r="G1" s="406" t="e">
        <f>Input!#REF!</f>
        <v>#REF!</v>
      </c>
      <c r="H1" s="479" t="e">
        <f>Input!#REF!</f>
        <v>#REF!</v>
      </c>
    </row>
    <row r="2" spans="1:8" x14ac:dyDescent="0.2">
      <c r="H2" s="480"/>
    </row>
    <row r="3" spans="1:8" x14ac:dyDescent="0.2">
      <c r="A3" s="370" t="s">
        <v>148</v>
      </c>
      <c r="B3" s="371"/>
      <c r="C3" s="371"/>
      <c r="D3" s="369" t="e">
        <f>Input!#REF!</f>
        <v>#REF!</v>
      </c>
      <c r="E3" s="369" t="e">
        <f>Input!#REF!</f>
        <v>#REF!</v>
      </c>
      <c r="F3" s="369" t="e">
        <f>Input!#REF!</f>
        <v>#REF!</v>
      </c>
      <c r="G3" s="369" t="e">
        <f>Input!#REF!</f>
        <v>#REF!</v>
      </c>
      <c r="H3" s="369" t="e">
        <f>Input!#REF!</f>
        <v>#REF!</v>
      </c>
    </row>
    <row r="4" spans="1:8" x14ac:dyDescent="0.2">
      <c r="A4" s="370" t="s">
        <v>430</v>
      </c>
      <c r="B4" s="407">
        <v>0.22500000000000001</v>
      </c>
      <c r="C4" s="371"/>
      <c r="D4" s="369" t="e">
        <f>-(D3*B4)</f>
        <v>#REF!</v>
      </c>
      <c r="E4" s="369" t="e">
        <f>-(E3*C4)</f>
        <v>#REF!</v>
      </c>
      <c r="F4" s="369" t="e">
        <f>-(F3*D4)</f>
        <v>#REF!</v>
      </c>
      <c r="G4" s="369" t="e">
        <f>-(G3*E4)</f>
        <v>#REF!</v>
      </c>
      <c r="H4" s="369" t="e">
        <f>-(H3*F4)</f>
        <v>#REF!</v>
      </c>
    </row>
    <row r="5" spans="1:8" x14ac:dyDescent="0.2">
      <c r="A5" s="370" t="s">
        <v>431</v>
      </c>
      <c r="B5" s="371"/>
      <c r="C5" s="371"/>
      <c r="D5" s="369" t="e">
        <f>-(Input!#REF!+Input!#REF!)</f>
        <v>#REF!</v>
      </c>
      <c r="E5" s="369" t="e">
        <f>-(Input!#REF!+Input!#REF!)</f>
        <v>#REF!</v>
      </c>
      <c r="F5" s="369" t="e">
        <f>-(Input!#REF!+Input!#REF!)</f>
        <v>#REF!</v>
      </c>
      <c r="G5" s="369" t="e">
        <f>-(Input!#REF!+Input!#REF!)</f>
        <v>#REF!</v>
      </c>
      <c r="H5" s="369" t="e">
        <f>-(Input!#REF!+Input!#REF!)</f>
        <v>#REF!</v>
      </c>
    </row>
    <row r="6" spans="1:8" x14ac:dyDescent="0.2">
      <c r="A6" s="370" t="s">
        <v>432</v>
      </c>
      <c r="B6" s="371"/>
      <c r="C6" s="371"/>
      <c r="D6" s="369" t="e">
        <f>-Input!#REF!</f>
        <v>#REF!</v>
      </c>
      <c r="E6" s="369" t="e">
        <f>-Input!#REF!</f>
        <v>#REF!</v>
      </c>
      <c r="F6" s="369" t="e">
        <f>-Input!#REF!</f>
        <v>#REF!</v>
      </c>
      <c r="G6" s="369" t="e">
        <f>-Input!#REF!</f>
        <v>#REF!</v>
      </c>
      <c r="H6" s="369" t="e">
        <f>-Input!#REF!</f>
        <v>#REF!</v>
      </c>
    </row>
    <row r="7" spans="1:8" x14ac:dyDescent="0.2">
      <c r="A7" s="370" t="s">
        <v>433</v>
      </c>
      <c r="B7" s="371"/>
      <c r="C7" s="371"/>
      <c r="D7" s="369" t="e">
        <f>-(Input!J154-Input!#REF!-DCF!D5)</f>
        <v>#REF!</v>
      </c>
      <c r="E7" s="369" t="e">
        <f>Input!#REF!-Input!#REF!-DCF!E5</f>
        <v>#REF!</v>
      </c>
      <c r="F7" s="369" t="e">
        <f>Input!#REF!-Input!#REF!-DCF!F5</f>
        <v>#REF!</v>
      </c>
      <c r="G7" s="369" t="e">
        <f>Input!#REF!-Input!#REF!-DCF!G5</f>
        <v>#REF!</v>
      </c>
      <c r="H7" s="369" t="e">
        <f>Input!#REF!-Input!#REF!-DCF!H5</f>
        <v>#REF!</v>
      </c>
    </row>
    <row r="8" spans="1:8" x14ac:dyDescent="0.2">
      <c r="A8" s="370" t="s">
        <v>434</v>
      </c>
      <c r="B8" s="407">
        <v>0.1</v>
      </c>
      <c r="C8" s="371"/>
      <c r="D8" s="371" t="e">
        <f>-((Input!#REF!+Input!#REF!)*B8)</f>
        <v>#REF!</v>
      </c>
      <c r="E8" s="371" t="e">
        <f>(Input!#REF!+Input!#REF!)*C8</f>
        <v>#REF!</v>
      </c>
      <c r="F8" s="371" t="e">
        <f>(Input!#REF!+Input!#REF!)*D8</f>
        <v>#REF!</v>
      </c>
      <c r="G8" s="371" t="e">
        <f>(Input!#REF!+Input!#REF!)*E8</f>
        <v>#REF!</v>
      </c>
      <c r="H8" s="481" t="e">
        <f>(Input!#REF!+Input!#REF!)*F8</f>
        <v>#REF!</v>
      </c>
    </row>
    <row r="9" spans="1:8" x14ac:dyDescent="0.2">
      <c r="A9" s="370" t="s">
        <v>435</v>
      </c>
      <c r="B9" s="373"/>
      <c r="C9" s="373"/>
      <c r="D9" s="374" t="e">
        <f>SUM(D3:D8)</f>
        <v>#REF!</v>
      </c>
      <c r="E9" s="374" t="e">
        <f>SUM(E3:E8)</f>
        <v>#REF!</v>
      </c>
      <c r="F9" s="374" t="e">
        <f>SUM(F3:F8)</f>
        <v>#REF!</v>
      </c>
      <c r="G9" s="374" t="e">
        <f>SUM(G3:G8)</f>
        <v>#REF!</v>
      </c>
      <c r="H9" s="374" t="e">
        <f>SUM(H3:H8)</f>
        <v>#REF!</v>
      </c>
    </row>
    <row r="10" spans="1:8" x14ac:dyDescent="0.2">
      <c r="A10" s="370" t="s">
        <v>436</v>
      </c>
      <c r="B10" s="371"/>
      <c r="C10" s="371"/>
      <c r="D10" s="375">
        <v>1</v>
      </c>
      <c r="E10" s="375">
        <v>2</v>
      </c>
      <c r="F10" s="375">
        <v>3</v>
      </c>
      <c r="G10" s="375">
        <v>4</v>
      </c>
      <c r="H10" s="375">
        <v>5</v>
      </c>
    </row>
    <row r="11" spans="1:8" x14ac:dyDescent="0.2">
      <c r="A11" s="370" t="s">
        <v>437</v>
      </c>
      <c r="B11" s="371"/>
      <c r="C11" s="371"/>
      <c r="D11" s="375">
        <f>1/(1+$B$18)^D10</f>
        <v>0.87318982818746194</v>
      </c>
      <c r="E11" s="375">
        <f>1/(1+$B$18)^E10</f>
        <v>0.7624604760500493</v>
      </c>
      <c r="F11" s="375">
        <f>1/(1+$B$18)^F10</f>
        <v>0.66577273208187293</v>
      </c>
      <c r="G11" s="375">
        <f>1/(1+$B$18)^G10</f>
        <v>0.58134597753846773</v>
      </c>
      <c r="H11" s="375">
        <f>1/(1+$B$18)^H10</f>
        <v>0.50762539424428677</v>
      </c>
    </row>
    <row r="12" spans="1:8" x14ac:dyDescent="0.2">
      <c r="A12" s="370" t="s">
        <v>438</v>
      </c>
      <c r="B12" s="373"/>
      <c r="C12" s="373"/>
      <c r="D12" s="374" t="e">
        <f>+D11*D9</f>
        <v>#REF!</v>
      </c>
      <c r="E12" s="374" t="e">
        <f>+E11*E9</f>
        <v>#REF!</v>
      </c>
      <c r="F12" s="374" t="e">
        <f>+F11*F9</f>
        <v>#REF!</v>
      </c>
      <c r="G12" s="374" t="e">
        <f>+G11*G9</f>
        <v>#REF!</v>
      </c>
      <c r="H12" s="374" t="e">
        <f>+H11*H9</f>
        <v>#REF!</v>
      </c>
    </row>
    <row r="13" spans="1:8" x14ac:dyDescent="0.2">
      <c r="A13" s="370" t="s">
        <v>439</v>
      </c>
      <c r="B13" s="373"/>
      <c r="C13" s="373"/>
      <c r="D13" s="374" t="e">
        <f>SUM(D12:H12)</f>
        <v>#REF!</v>
      </c>
      <c r="E13" s="373"/>
      <c r="F13" s="373"/>
      <c r="G13" s="373"/>
      <c r="H13" s="482"/>
    </row>
    <row r="14" spans="1:8" x14ac:dyDescent="0.2">
      <c r="A14" s="370" t="s">
        <v>440</v>
      </c>
      <c r="B14" s="371"/>
      <c r="C14" s="371"/>
      <c r="D14" s="371"/>
      <c r="E14" s="371"/>
      <c r="F14" s="371"/>
      <c r="G14" s="371"/>
      <c r="H14" s="374" t="e">
        <f>(H9*(1+B19))/(B18-B19)</f>
        <v>#REF!</v>
      </c>
    </row>
    <row r="15" spans="1:8" x14ac:dyDescent="0.2">
      <c r="A15" s="370" t="s">
        <v>441</v>
      </c>
      <c r="B15" s="371"/>
      <c r="C15" s="371"/>
      <c r="D15" s="374" t="e">
        <f>+H14*H11</f>
        <v>#REF!</v>
      </c>
      <c r="E15" s="371"/>
      <c r="F15" s="371"/>
      <c r="G15" s="371"/>
      <c r="H15" s="481"/>
    </row>
    <row r="18" spans="1:10" x14ac:dyDescent="0.2">
      <c r="A18" s="370" t="s">
        <v>442</v>
      </c>
      <c r="B18" s="376">
        <f>B48</f>
        <v>0.14522635023791614</v>
      </c>
      <c r="D18" s="366" t="s">
        <v>443</v>
      </c>
      <c r="E18" s="377" t="s">
        <v>444</v>
      </c>
      <c r="F18" s="377" t="s">
        <v>445</v>
      </c>
      <c r="G18" s="377" t="s">
        <v>446</v>
      </c>
      <c r="H18" s="377" t="s">
        <v>447</v>
      </c>
      <c r="I18" s="377">
        <v>2020</v>
      </c>
      <c r="J18" s="377" t="s">
        <v>448</v>
      </c>
    </row>
    <row r="19" spans="1:10" x14ac:dyDescent="0.2">
      <c r="A19" s="370" t="s">
        <v>449</v>
      </c>
      <c r="B19" s="408">
        <v>3.9E-2</v>
      </c>
      <c r="D19" s="378">
        <v>3.4</v>
      </c>
      <c r="E19" s="378">
        <v>3.8</v>
      </c>
      <c r="F19" s="378">
        <v>3.6</v>
      </c>
      <c r="G19" s="378">
        <v>4</v>
      </c>
      <c r="H19" s="378">
        <v>3.7</v>
      </c>
      <c r="I19" s="378">
        <v>4.9000000000000004</v>
      </c>
      <c r="J19" s="379">
        <f>AVERAGE(D19:I19)</f>
        <v>3.9</v>
      </c>
    </row>
    <row r="20" spans="1:10" x14ac:dyDescent="0.2">
      <c r="A20" s="370" t="s">
        <v>450</v>
      </c>
      <c r="B20" s="380" t="e">
        <f>+D13+D15</f>
        <v>#REF!</v>
      </c>
    </row>
    <row r="21" spans="1:10" ht="11.25" customHeight="1" x14ac:dyDescent="0.2">
      <c r="A21" s="370" t="s">
        <v>451</v>
      </c>
      <c r="B21" s="381" t="e">
        <f>+D15/B20</f>
        <v>#REF!</v>
      </c>
    </row>
    <row r="22" spans="1:10" x14ac:dyDescent="0.2">
      <c r="A22" s="370" t="s">
        <v>453</v>
      </c>
      <c r="B22" s="369">
        <f>Input!J221+Input!J223+Input!J225+Input!J215+Input!J207+Input!J191+Input!J193+Input!J195+Input!J197+Input!J233+Input!J235+Input!J239+Input!J237-Input!J163</f>
        <v>1353331755.2731302</v>
      </c>
    </row>
    <row r="23" spans="1:10" x14ac:dyDescent="0.2">
      <c r="A23" s="370" t="s">
        <v>455</v>
      </c>
      <c r="B23" s="369">
        <f>Input!J98+Input!J100+Input!J102</f>
        <v>1594555631.552</v>
      </c>
    </row>
    <row r="24" spans="1:10" x14ac:dyDescent="0.2">
      <c r="A24" s="370" t="s">
        <v>456</v>
      </c>
      <c r="B24" s="369" t="s">
        <v>2979</v>
      </c>
    </row>
    <row r="25" spans="1:10" ht="11.25" customHeight="1" x14ac:dyDescent="0.2">
      <c r="A25" s="370" t="s">
        <v>458</v>
      </c>
      <c r="B25" s="369" t="e">
        <f>+B20/Input!J290</f>
        <v>#REF!</v>
      </c>
    </row>
    <row r="26" spans="1:10" ht="11.25" customHeight="1" x14ac:dyDescent="0.2">
      <c r="A26" s="370" t="s">
        <v>459</v>
      </c>
      <c r="B26" s="474">
        <v>12004470</v>
      </c>
    </row>
    <row r="27" spans="1:10" ht="11.25" customHeight="1" x14ac:dyDescent="0.2">
      <c r="A27" s="370" t="s">
        <v>463</v>
      </c>
      <c r="B27" s="617" t="e">
        <f>B24/B26</f>
        <v>#VALUE!</v>
      </c>
    </row>
    <row r="28" spans="1:10" ht="11.25" customHeight="1" x14ac:dyDescent="0.2"/>
    <row r="29" spans="1:10" x14ac:dyDescent="0.2">
      <c r="A29" s="370" t="s">
        <v>465</v>
      </c>
    </row>
    <row r="30" spans="1:10" x14ac:dyDescent="0.2">
      <c r="A30" s="370" t="s">
        <v>467</v>
      </c>
      <c r="B30" s="476">
        <v>4.7500000000000001E-2</v>
      </c>
    </row>
    <row r="31" spans="1:10" x14ac:dyDescent="0.2">
      <c r="A31" s="370" t="s">
        <v>469</v>
      </c>
      <c r="B31" s="476">
        <v>5.3900000000000003E-2</v>
      </c>
    </row>
    <row r="32" spans="1:10" x14ac:dyDescent="0.2">
      <c r="A32" s="370" t="s">
        <v>471</v>
      </c>
      <c r="B32" s="394">
        <f>+B30+B31</f>
        <v>0.1014</v>
      </c>
    </row>
    <row r="33" spans="1:2" ht="11.25" customHeight="1" x14ac:dyDescent="0.2">
      <c r="A33" s="370" t="s">
        <v>473</v>
      </c>
      <c r="B33" s="477">
        <v>0.62</v>
      </c>
    </row>
    <row r="34" spans="1:2" ht="11.25" customHeight="1" x14ac:dyDescent="0.2">
      <c r="A34" s="370" t="s">
        <v>475</v>
      </c>
      <c r="B34" s="393">
        <f>Input!J242/Input!J274</f>
        <v>0.82852986172591425</v>
      </c>
    </row>
    <row r="35" spans="1:2" ht="15" customHeight="1" x14ac:dyDescent="0.2">
      <c r="A35" s="370" t="s">
        <v>477</v>
      </c>
      <c r="B35" s="395">
        <f>B4</f>
        <v>0.22500000000000001</v>
      </c>
    </row>
    <row r="36" spans="1:2" x14ac:dyDescent="0.2">
      <c r="A36" s="370" t="s">
        <v>479</v>
      </c>
      <c r="B36" s="397">
        <f>B33*(1+(B34*(1-B35)))</f>
        <v>1.0181085985593019</v>
      </c>
    </row>
    <row r="37" spans="1:2" x14ac:dyDescent="0.2">
      <c r="A37" s="370" t="s">
        <v>480</v>
      </c>
      <c r="B37" s="409">
        <f>4.14%</f>
        <v>4.1399999999999999E-2</v>
      </c>
    </row>
    <row r="38" spans="1:2" x14ac:dyDescent="0.2">
      <c r="A38" s="370" t="s">
        <v>484</v>
      </c>
      <c r="B38" s="398">
        <f>+B32+(B36*B37)</f>
        <v>0.14354969598035511</v>
      </c>
    </row>
    <row r="40" spans="1:2" ht="11.25" customHeight="1" x14ac:dyDescent="0.2">
      <c r="A40" s="370" t="s">
        <v>486</v>
      </c>
      <c r="B40" s="478">
        <v>0.1575</v>
      </c>
    </row>
    <row r="41" spans="1:2" x14ac:dyDescent="0.2">
      <c r="A41" s="370" t="s">
        <v>488</v>
      </c>
      <c r="B41" s="478">
        <v>0.14749999999999999</v>
      </c>
    </row>
    <row r="42" spans="1:2" x14ac:dyDescent="0.2">
      <c r="A42" s="370" t="s">
        <v>490</v>
      </c>
      <c r="B42" s="401">
        <f>AVERAGE(B40:B41)</f>
        <v>0.1525</v>
      </c>
    </row>
    <row r="43" spans="1:2" x14ac:dyDescent="0.2">
      <c r="A43" s="370" t="s">
        <v>492</v>
      </c>
      <c r="B43" s="478">
        <v>3.7499999999999999E-2</v>
      </c>
    </row>
    <row r="44" spans="1:2" x14ac:dyDescent="0.2">
      <c r="A44" s="370" t="s">
        <v>494</v>
      </c>
      <c r="B44" s="402">
        <f>+B42+B43</f>
        <v>0.19</v>
      </c>
    </row>
    <row r="45" spans="1:2" x14ac:dyDescent="0.2">
      <c r="A45" s="370" t="s">
        <v>496</v>
      </c>
      <c r="B45" s="475">
        <f>+B44*(1-B35)</f>
        <v>0.14725000000000002</v>
      </c>
    </row>
    <row r="47" spans="1:2" ht="11.25" customHeight="1" x14ac:dyDescent="0.2">
      <c r="A47" s="370" t="s">
        <v>499</v>
      </c>
      <c r="B47" s="473">
        <f>(1-(B34/(1+B34)))</f>
        <v>0.54688743177326027</v>
      </c>
    </row>
    <row r="48" spans="1:2" x14ac:dyDescent="0.2">
      <c r="A48" s="370" t="s">
        <v>442</v>
      </c>
      <c r="B48" s="472">
        <f>(B47*B38)+((1-B47)*B45)</f>
        <v>0.14522635023791614</v>
      </c>
    </row>
    <row r="49" ht="24.75" customHeight="1" x14ac:dyDescent="0.2"/>
    <row r="58" ht="15" customHeight="1" x14ac:dyDescent="0.2"/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L78"/>
  <sheetViews>
    <sheetView workbookViewId="0">
      <selection activeCell="C13" sqref="C13"/>
    </sheetView>
  </sheetViews>
  <sheetFormatPr defaultRowHeight="13.2" x14ac:dyDescent="0.25"/>
  <cols>
    <col min="1" max="1" width="33.44140625" bestFit="1" customWidth="1"/>
    <col min="2" max="2" width="13.5546875" bestFit="1" customWidth="1"/>
    <col min="3" max="3" width="11.77734375" bestFit="1" customWidth="1"/>
    <col min="4" max="4" width="13.5546875" bestFit="1" customWidth="1"/>
    <col min="6" max="6" width="27.77734375" bestFit="1" customWidth="1"/>
    <col min="7" max="7" width="17.44140625" bestFit="1" customWidth="1"/>
    <col min="8" max="8" width="16.77734375" bestFit="1" customWidth="1"/>
    <col min="9" max="9" width="12" bestFit="1" customWidth="1"/>
    <col min="10" max="10" width="16.21875" bestFit="1" customWidth="1"/>
    <col min="11" max="12" width="12" bestFit="1" customWidth="1"/>
  </cols>
  <sheetData>
    <row r="1" spans="1:12" x14ac:dyDescent="0.25">
      <c r="A1" s="30"/>
      <c r="B1" s="30"/>
      <c r="C1" s="30"/>
      <c r="D1" s="30"/>
      <c r="E1" s="30"/>
      <c r="F1" s="899" t="s">
        <v>514</v>
      </c>
      <c r="G1" s="900"/>
    </row>
    <row r="2" spans="1:12" ht="16.5" customHeight="1" x14ac:dyDescent="0.25">
      <c r="A2" s="382" t="s">
        <v>515</v>
      </c>
      <c r="B2" s="610">
        <v>40.42</v>
      </c>
      <c r="F2" s="367"/>
      <c r="G2" s="368">
        <v>2016</v>
      </c>
      <c r="H2" s="367" t="s">
        <v>428</v>
      </c>
      <c r="I2" s="367" t="s">
        <v>429</v>
      </c>
      <c r="J2" s="367"/>
    </row>
    <row r="3" spans="1:12" x14ac:dyDescent="0.25">
      <c r="A3" s="440" t="s">
        <v>1758</v>
      </c>
      <c r="B3" s="441" t="s">
        <v>2977</v>
      </c>
      <c r="F3" s="367" t="s">
        <v>148</v>
      </c>
      <c r="G3" s="415">
        <v>114418599</v>
      </c>
      <c r="H3" s="416">
        <v>15610348</v>
      </c>
      <c r="I3" s="416">
        <v>80150868</v>
      </c>
      <c r="J3" s="416">
        <f>G3-H3+I3</f>
        <v>178959119</v>
      </c>
    </row>
    <row r="4" spans="1:12" x14ac:dyDescent="0.25">
      <c r="F4" s="367" t="s">
        <v>1780</v>
      </c>
      <c r="G4" s="415">
        <v>27121999</v>
      </c>
      <c r="H4" s="416">
        <v>6826861</v>
      </c>
      <c r="I4" s="416">
        <v>6736282</v>
      </c>
      <c r="J4" s="416">
        <f>G4-H4+I4</f>
        <v>27031420</v>
      </c>
    </row>
    <row r="5" spans="1:12" x14ac:dyDescent="0.25">
      <c r="A5" s="426" t="s">
        <v>1727</v>
      </c>
      <c r="B5" s="425" t="s">
        <v>1728</v>
      </c>
      <c r="F5" s="365"/>
      <c r="G5" s="417"/>
      <c r="H5" s="417"/>
      <c r="I5" s="417"/>
      <c r="J5" s="418">
        <f>SUM(J3:J4)</f>
        <v>205990539</v>
      </c>
      <c r="K5" s="365"/>
      <c r="L5" s="365"/>
    </row>
    <row r="6" spans="1:12" x14ac:dyDescent="0.25">
      <c r="A6" s="382" t="s">
        <v>518</v>
      </c>
      <c r="B6" s="608">
        <f>B2/((Input!J181-Input!J242)/D24)</f>
        <v>0.26579736640708684</v>
      </c>
      <c r="F6" s="365"/>
      <c r="G6" s="372"/>
      <c r="H6" s="372"/>
      <c r="I6" s="372"/>
      <c r="K6" s="365"/>
      <c r="L6" s="365"/>
    </row>
    <row r="7" spans="1:12" x14ac:dyDescent="0.25">
      <c r="A7" s="382" t="s">
        <v>516</v>
      </c>
      <c r="B7" s="608">
        <f>B2/(Input!J22/D24)</f>
        <v>0.19237748360573792</v>
      </c>
      <c r="F7" s="382" t="s">
        <v>513</v>
      </c>
      <c r="G7" s="383" t="e">
        <f>DCF!D3+DCF!D5</f>
        <v>#REF!</v>
      </c>
      <c r="H7" s="365"/>
      <c r="I7" s="901" t="s">
        <v>452</v>
      </c>
      <c r="J7" s="902"/>
      <c r="K7" s="410">
        <v>6.62</v>
      </c>
      <c r="L7" s="365"/>
    </row>
    <row r="8" spans="1:12" x14ac:dyDescent="0.25">
      <c r="A8" s="382" t="s">
        <v>517</v>
      </c>
      <c r="B8" s="608">
        <f>B2/(Input!J346/D24)</f>
        <v>1.26905934013597</v>
      </c>
      <c r="F8" s="382" t="s">
        <v>454</v>
      </c>
      <c r="G8" s="385">
        <v>6.62</v>
      </c>
      <c r="H8" s="386">
        <v>6.74</v>
      </c>
      <c r="I8" s="386">
        <v>7.73</v>
      </c>
      <c r="J8" s="386">
        <v>9.1199999999999992</v>
      </c>
      <c r="K8" s="386">
        <v>10</v>
      </c>
      <c r="L8" s="385">
        <v>10</v>
      </c>
    </row>
    <row r="9" spans="1:12" x14ac:dyDescent="0.25">
      <c r="A9" s="382" t="s">
        <v>1729</v>
      </c>
      <c r="B9" s="608">
        <f>((B2*D24)-D26+B25+D25)/Input!J22</f>
        <v>-0.38571948879026352</v>
      </c>
      <c r="F9" s="370" t="s">
        <v>450</v>
      </c>
      <c r="G9" s="387" t="e">
        <f t="shared" ref="G9:L9" si="0">$G$7*G8</f>
        <v>#REF!</v>
      </c>
      <c r="H9" s="388" t="e">
        <f t="shared" si="0"/>
        <v>#REF!</v>
      </c>
      <c r="I9" s="388" t="e">
        <f t="shared" si="0"/>
        <v>#REF!</v>
      </c>
      <c r="J9" s="388" t="e">
        <f t="shared" si="0"/>
        <v>#REF!</v>
      </c>
      <c r="K9" s="389" t="e">
        <f t="shared" si="0"/>
        <v>#REF!</v>
      </c>
      <c r="L9" s="387" t="e">
        <f t="shared" si="0"/>
        <v>#REF!</v>
      </c>
    </row>
    <row r="10" spans="1:12" x14ac:dyDescent="0.25">
      <c r="A10" s="382" t="s">
        <v>1730</v>
      </c>
      <c r="B10" s="608">
        <f>((B2*D24)-D26+D25+B25)/Input!J290</f>
        <v>-2.4199341915048409</v>
      </c>
      <c r="F10" s="390" t="s">
        <v>457</v>
      </c>
      <c r="G10" s="384" t="e">
        <f>G9/DCF!$B$26</f>
        <v>#REF!</v>
      </c>
      <c r="H10" s="391" t="e">
        <f>H9/DCF!$B$26</f>
        <v>#REF!</v>
      </c>
      <c r="I10" s="391" t="e">
        <f>I9/DCF!$B$26</f>
        <v>#REF!</v>
      </c>
      <c r="J10" s="391" t="e">
        <f>J9/DCF!$B$26</f>
        <v>#REF!</v>
      </c>
      <c r="K10" s="384" t="e">
        <f>K9/DCF!$B$26</f>
        <v>#REF!</v>
      </c>
      <c r="L10" s="384" t="e">
        <f>L9/DCF!$B$26</f>
        <v>#REF!</v>
      </c>
    </row>
    <row r="11" spans="1:12" x14ac:dyDescent="0.25">
      <c r="A11" s="382" t="s">
        <v>1731</v>
      </c>
      <c r="B11" s="608">
        <f>((B2*D24)-D26+D25+B25)/Input!J286</f>
        <v>-3.2942237374076413</v>
      </c>
      <c r="F11" s="365"/>
      <c r="G11" s="365"/>
      <c r="H11" s="365"/>
      <c r="I11" s="365"/>
      <c r="J11" s="365"/>
      <c r="K11" s="365"/>
      <c r="L11" s="365"/>
    </row>
    <row r="12" spans="1:12" x14ac:dyDescent="0.25">
      <c r="A12" s="382" t="s">
        <v>421</v>
      </c>
      <c r="B12" s="608">
        <f>Input!J81/D24</f>
        <v>24.679725115984414</v>
      </c>
      <c r="F12" s="886" t="s">
        <v>460</v>
      </c>
      <c r="G12" s="886" t="s">
        <v>372</v>
      </c>
      <c r="H12" s="889" t="s">
        <v>461</v>
      </c>
      <c r="I12" s="889"/>
      <c r="J12" s="889" t="s">
        <v>462</v>
      </c>
      <c r="K12" s="365"/>
      <c r="L12" s="365"/>
    </row>
    <row r="13" spans="1:12" x14ac:dyDescent="0.25">
      <c r="F13" s="887"/>
      <c r="G13" s="888"/>
      <c r="H13" s="889"/>
      <c r="I13" s="889"/>
      <c r="J13" s="889"/>
      <c r="K13" s="365"/>
      <c r="L13" s="365"/>
    </row>
    <row r="14" spans="1:12" x14ac:dyDescent="0.25">
      <c r="F14" s="887"/>
      <c r="G14" s="392">
        <v>1</v>
      </c>
      <c r="H14" s="890" t="s">
        <v>464</v>
      </c>
      <c r="I14" s="891"/>
      <c r="J14" s="411">
        <v>7.51</v>
      </c>
      <c r="K14" s="365"/>
      <c r="L14" s="365"/>
    </row>
    <row r="15" spans="1:12" x14ac:dyDescent="0.25">
      <c r="F15" s="887"/>
      <c r="G15" s="392">
        <v>2</v>
      </c>
      <c r="H15" s="890" t="s">
        <v>466</v>
      </c>
      <c r="I15" s="891"/>
      <c r="J15" s="411">
        <v>7.85</v>
      </c>
      <c r="K15" s="365"/>
      <c r="L15" s="365"/>
    </row>
    <row r="16" spans="1:12" x14ac:dyDescent="0.25">
      <c r="A16" s="896" t="s">
        <v>2978</v>
      </c>
      <c r="B16" s="897"/>
      <c r="C16" s="897"/>
      <c r="D16" s="898"/>
      <c r="F16" s="887"/>
      <c r="G16" s="392">
        <v>3</v>
      </c>
      <c r="H16" s="890" t="s">
        <v>468</v>
      </c>
      <c r="I16" s="891"/>
      <c r="J16" s="411">
        <v>3.94</v>
      </c>
      <c r="K16" s="365"/>
      <c r="L16" s="365"/>
    </row>
    <row r="17" spans="1:12" x14ac:dyDescent="0.25">
      <c r="A17" s="563" t="s">
        <v>1784</v>
      </c>
      <c r="B17" s="564">
        <f>(D17+B30+B25)-B29</f>
        <v>-972874102.15199995</v>
      </c>
      <c r="C17" s="563" t="s">
        <v>1785</v>
      </c>
      <c r="D17" s="569">
        <f>B2*D24</f>
        <v>485220677.40000004</v>
      </c>
      <c r="F17" s="887"/>
      <c r="G17" s="392">
        <v>4</v>
      </c>
      <c r="H17" s="890" t="s">
        <v>470</v>
      </c>
      <c r="I17" s="891"/>
      <c r="J17" s="411">
        <v>5.56</v>
      </c>
      <c r="K17" s="365"/>
      <c r="L17" s="365"/>
    </row>
    <row r="18" spans="1:12" x14ac:dyDescent="0.25">
      <c r="A18" s="563" t="s">
        <v>1729</v>
      </c>
      <c r="B18" s="565">
        <f>B17/D18</f>
        <v>-0.38571948879026352</v>
      </c>
      <c r="C18" s="563" t="s">
        <v>183</v>
      </c>
      <c r="D18" s="569">
        <f>Ratios!I73</f>
        <v>2522232167.2240005</v>
      </c>
      <c r="F18" s="887"/>
      <c r="G18" s="392">
        <v>5</v>
      </c>
      <c r="H18" s="890" t="s">
        <v>472</v>
      </c>
      <c r="I18" s="891"/>
      <c r="J18" s="411">
        <v>6.35</v>
      </c>
      <c r="K18" s="365"/>
      <c r="L18" s="365"/>
    </row>
    <row r="19" spans="1:12" x14ac:dyDescent="0.25">
      <c r="A19" s="563" t="s">
        <v>1730</v>
      </c>
      <c r="B19" s="565">
        <f>B17/D19</f>
        <v>-2.4199341915048409</v>
      </c>
      <c r="C19" s="563" t="s">
        <v>113</v>
      </c>
      <c r="D19" s="569">
        <f>Ratios!I79</f>
        <v>402025024.30325025</v>
      </c>
      <c r="F19" s="887"/>
      <c r="G19" s="392">
        <v>6</v>
      </c>
      <c r="H19" s="890" t="s">
        <v>474</v>
      </c>
      <c r="I19" s="891"/>
      <c r="J19" s="411">
        <v>4.99</v>
      </c>
      <c r="K19" s="365"/>
      <c r="L19" s="365"/>
    </row>
    <row r="20" spans="1:12" x14ac:dyDescent="0.25">
      <c r="A20" s="563" t="s">
        <v>1731</v>
      </c>
      <c r="B20" s="565">
        <f>B17/D20</f>
        <v>-3.2942237374076413</v>
      </c>
      <c r="C20" s="563" t="s">
        <v>148</v>
      </c>
      <c r="D20" s="569">
        <f>Ratios!I76</f>
        <v>295327269.70075023</v>
      </c>
      <c r="F20" s="887"/>
      <c r="G20" s="392">
        <v>7</v>
      </c>
      <c r="H20" s="890" t="s">
        <v>476</v>
      </c>
      <c r="I20" s="891"/>
      <c r="J20" s="411">
        <v>10.95</v>
      </c>
      <c r="K20" s="365"/>
      <c r="L20" s="365"/>
    </row>
    <row r="21" spans="1:12" x14ac:dyDescent="0.25">
      <c r="A21" s="566"/>
      <c r="B21" s="566"/>
      <c r="C21" s="563" t="s">
        <v>421</v>
      </c>
      <c r="D21" s="591">
        <f>B12</f>
        <v>24.679725115984414</v>
      </c>
      <c r="F21" s="888"/>
      <c r="G21" s="883" t="s">
        <v>478</v>
      </c>
      <c r="H21" s="884"/>
      <c r="I21" s="885"/>
      <c r="J21" s="396">
        <f>AVERAGE(J14:J20)</f>
        <v>6.7357142857142867</v>
      </c>
      <c r="K21" s="365"/>
      <c r="L21" s="365"/>
    </row>
    <row r="22" spans="1:12" x14ac:dyDescent="0.25">
      <c r="A22" s="563" t="s">
        <v>1786</v>
      </c>
      <c r="B22" s="567">
        <f>D23/D21</f>
        <v>1.6377816126412617</v>
      </c>
      <c r="C22" s="563" t="s">
        <v>1787</v>
      </c>
      <c r="D22" s="569">
        <f>Ratios!I102</f>
        <v>1825528536.7177901</v>
      </c>
      <c r="F22" s="365"/>
      <c r="G22" s="365"/>
      <c r="H22" s="365"/>
      <c r="I22" s="365"/>
      <c r="J22" s="365"/>
      <c r="K22" s="365"/>
      <c r="L22" s="365"/>
    </row>
    <row r="23" spans="1:12" x14ac:dyDescent="0.25">
      <c r="A23" s="563" t="s">
        <v>518</v>
      </c>
      <c r="B23" s="565">
        <f>D23/B24</f>
        <v>0.26579736642868523</v>
      </c>
      <c r="C23" s="563" t="s">
        <v>1788</v>
      </c>
      <c r="D23" s="592">
        <f>B2</f>
        <v>40.42</v>
      </c>
      <c r="F23" s="889" t="s">
        <v>481</v>
      </c>
      <c r="G23" s="889" t="s">
        <v>482</v>
      </c>
      <c r="H23" s="889" t="s">
        <v>483</v>
      </c>
      <c r="I23" s="889"/>
      <c r="J23" s="889" t="s">
        <v>462</v>
      </c>
      <c r="K23" s="365"/>
      <c r="L23" s="365"/>
    </row>
    <row r="24" spans="1:12" x14ac:dyDescent="0.25">
      <c r="A24" s="563" t="s">
        <v>1789</v>
      </c>
      <c r="B24" s="565">
        <f>D22/D24</f>
        <v>152.07073171225304</v>
      </c>
      <c r="C24" s="563" t="s">
        <v>1790</v>
      </c>
      <c r="D24" s="569">
        <v>12004470</v>
      </c>
      <c r="F24" s="889"/>
      <c r="G24" s="889"/>
      <c r="H24" s="889"/>
      <c r="I24" s="889"/>
      <c r="J24" s="889"/>
      <c r="K24" s="365"/>
      <c r="L24" s="365"/>
    </row>
    <row r="25" spans="1:12" x14ac:dyDescent="0.25">
      <c r="A25" s="563" t="s">
        <v>2887</v>
      </c>
      <c r="B25" s="611">
        <f>Input!J245</f>
        <v>0</v>
      </c>
      <c r="C25" s="563" t="s">
        <v>2952</v>
      </c>
      <c r="D25" s="611">
        <f>(Input!J191+Input!J193+Input!J221+Input!J223)</f>
        <v>136460852</v>
      </c>
      <c r="F25" s="399">
        <v>1</v>
      </c>
      <c r="G25" s="412">
        <v>42461</v>
      </c>
      <c r="H25" s="894" t="s">
        <v>485</v>
      </c>
      <c r="I25" s="895"/>
      <c r="J25" s="411">
        <v>11</v>
      </c>
      <c r="K25" s="365"/>
      <c r="L25" s="365"/>
    </row>
    <row r="26" spans="1:12" x14ac:dyDescent="0.25">
      <c r="A26" s="563"/>
      <c r="B26" s="563"/>
      <c r="C26" s="563" t="s">
        <v>2953</v>
      </c>
      <c r="D26" s="611">
        <f>Input!J98+Input!J100+Input!J102</f>
        <v>1594555631.552</v>
      </c>
      <c r="F26" s="399">
        <v>2</v>
      </c>
      <c r="G26" s="412">
        <v>42248</v>
      </c>
      <c r="H26" s="892" t="s">
        <v>487</v>
      </c>
      <c r="I26" s="893"/>
      <c r="J26" s="411">
        <v>13.1</v>
      </c>
      <c r="K26" s="365"/>
      <c r="L26" s="365"/>
    </row>
    <row r="27" spans="1:12" x14ac:dyDescent="0.25">
      <c r="A27" s="563"/>
      <c r="B27" s="563"/>
      <c r="C27" s="563"/>
      <c r="D27" s="611"/>
      <c r="F27" s="399">
        <v>3</v>
      </c>
      <c r="G27" s="412">
        <v>42016</v>
      </c>
      <c r="H27" s="894" t="s">
        <v>489</v>
      </c>
      <c r="I27" s="895"/>
      <c r="J27" s="411">
        <v>10.35</v>
      </c>
      <c r="K27" s="365"/>
      <c r="L27" s="400"/>
    </row>
    <row r="28" spans="1:12" x14ac:dyDescent="0.25">
      <c r="A28" s="568" t="s">
        <v>2886</v>
      </c>
      <c r="B28" s="569">
        <f>D28*D19</f>
        <v>3847379482.5821052</v>
      </c>
      <c r="C28" s="563" t="s">
        <v>1791</v>
      </c>
      <c r="D28" s="609">
        <v>9.57</v>
      </c>
      <c r="F28" s="399">
        <v>4</v>
      </c>
      <c r="G28" s="412">
        <v>42309</v>
      </c>
      <c r="H28" s="894" t="s">
        <v>491</v>
      </c>
      <c r="I28" s="895"/>
      <c r="J28" s="411">
        <v>7.9</v>
      </c>
      <c r="K28" s="365"/>
      <c r="L28" s="365"/>
    </row>
    <row r="29" spans="1:12" x14ac:dyDescent="0.25">
      <c r="A29" s="563" t="s">
        <v>1792</v>
      </c>
      <c r="B29" s="569">
        <f>DCF!B23</f>
        <v>1594555631.552</v>
      </c>
      <c r="C29" s="563"/>
      <c r="D29" s="563"/>
      <c r="F29" s="399">
        <v>5</v>
      </c>
      <c r="G29" s="412">
        <v>40817</v>
      </c>
      <c r="H29" s="894" t="s">
        <v>493</v>
      </c>
      <c r="I29" s="895"/>
      <c r="J29" s="411">
        <v>7.6</v>
      </c>
      <c r="K29" s="365"/>
      <c r="L29" s="365"/>
    </row>
    <row r="30" spans="1:12" x14ac:dyDescent="0.25">
      <c r="A30" s="563" t="s">
        <v>1793</v>
      </c>
      <c r="B30" s="569">
        <f>D25</f>
        <v>136460852</v>
      </c>
      <c r="C30" s="563"/>
      <c r="D30" s="563"/>
      <c r="F30" s="399">
        <v>6</v>
      </c>
      <c r="G30" s="412">
        <v>42064</v>
      </c>
      <c r="H30" s="894" t="s">
        <v>495</v>
      </c>
      <c r="I30" s="895"/>
      <c r="J30" s="411">
        <v>15</v>
      </c>
      <c r="K30" s="365"/>
      <c r="L30" s="365"/>
    </row>
    <row r="31" spans="1:12" x14ac:dyDescent="0.25">
      <c r="A31" s="563" t="s">
        <v>2954</v>
      </c>
      <c r="B31" s="569">
        <f>B25</f>
        <v>0</v>
      </c>
      <c r="C31" s="563"/>
      <c r="D31" s="563"/>
      <c r="F31" s="399">
        <v>7</v>
      </c>
      <c r="G31" s="412">
        <v>40504</v>
      </c>
      <c r="H31" s="894" t="s">
        <v>497</v>
      </c>
      <c r="I31" s="895"/>
      <c r="J31" s="411">
        <v>7.21</v>
      </c>
      <c r="K31" s="365"/>
      <c r="L31" s="365"/>
    </row>
    <row r="32" spans="1:12" x14ac:dyDescent="0.25">
      <c r="A32" s="568" t="s">
        <v>1794</v>
      </c>
      <c r="B32" s="570">
        <f>B28+B29-B30-B31</f>
        <v>5305474262.1341057</v>
      </c>
      <c r="C32" s="563"/>
      <c r="D32" s="563"/>
      <c r="F32" s="399">
        <v>8</v>
      </c>
      <c r="G32" s="412">
        <v>39638</v>
      </c>
      <c r="H32" s="894" t="s">
        <v>498</v>
      </c>
      <c r="I32" s="895"/>
      <c r="J32" s="411">
        <v>7.1</v>
      </c>
      <c r="K32" s="365"/>
      <c r="L32" s="365"/>
    </row>
    <row r="33" spans="1:12" x14ac:dyDescent="0.25">
      <c r="A33" s="563" t="s">
        <v>1795</v>
      </c>
      <c r="B33" s="565">
        <f>B32/D24</f>
        <v>441.95822573875444</v>
      </c>
      <c r="C33" s="563"/>
      <c r="D33" s="563"/>
      <c r="F33" s="399">
        <v>9</v>
      </c>
      <c r="G33" s="412">
        <v>40230</v>
      </c>
      <c r="H33" s="894" t="s">
        <v>500</v>
      </c>
      <c r="I33" s="895"/>
      <c r="J33" s="411">
        <v>6.48</v>
      </c>
      <c r="K33" s="365"/>
      <c r="L33" s="365"/>
    </row>
    <row r="34" spans="1:12" x14ac:dyDescent="0.25">
      <c r="F34" s="399">
        <v>10</v>
      </c>
      <c r="G34" s="412">
        <v>40297</v>
      </c>
      <c r="H34" s="894" t="s">
        <v>501</v>
      </c>
      <c r="I34" s="895"/>
      <c r="J34" s="411">
        <v>5.45</v>
      </c>
      <c r="K34" s="365"/>
      <c r="L34" s="365"/>
    </row>
    <row r="35" spans="1:12" x14ac:dyDescent="0.25">
      <c r="F35" s="403"/>
      <c r="G35" s="883" t="s">
        <v>478</v>
      </c>
      <c r="H35" s="884"/>
      <c r="I35" s="885"/>
      <c r="J35" s="396">
        <f>AVERAGE(J25:J34)</f>
        <v>9.1189999999999998</v>
      </c>
      <c r="K35" s="365"/>
      <c r="L35" s="365"/>
    </row>
    <row r="36" spans="1:12" x14ac:dyDescent="0.25">
      <c r="F36" s="365"/>
      <c r="G36" s="365"/>
      <c r="H36" s="365"/>
      <c r="I36" s="365"/>
      <c r="J36" s="365"/>
      <c r="K36" s="365"/>
      <c r="L36" s="365"/>
    </row>
    <row r="37" spans="1:12" x14ac:dyDescent="0.25">
      <c r="F37" s="886" t="s">
        <v>502</v>
      </c>
      <c r="G37" s="886" t="s">
        <v>372</v>
      </c>
      <c r="H37" s="889" t="s">
        <v>461</v>
      </c>
      <c r="I37" s="889"/>
      <c r="J37" s="889" t="s">
        <v>462</v>
      </c>
      <c r="K37" s="365"/>
      <c r="L37" s="365"/>
    </row>
    <row r="38" spans="1:12" x14ac:dyDescent="0.25">
      <c r="F38" s="887"/>
      <c r="G38" s="888"/>
      <c r="H38" s="889"/>
      <c r="I38" s="889"/>
      <c r="J38" s="889"/>
      <c r="K38" s="365"/>
      <c r="L38" s="365"/>
    </row>
    <row r="39" spans="1:12" x14ac:dyDescent="0.25">
      <c r="F39" s="887"/>
      <c r="G39" s="392">
        <v>1</v>
      </c>
      <c r="H39" s="890" t="s">
        <v>503</v>
      </c>
      <c r="I39" s="891"/>
      <c r="J39" s="411">
        <v>4.46</v>
      </c>
      <c r="K39" s="365"/>
      <c r="L39" s="365"/>
    </row>
    <row r="40" spans="1:12" x14ac:dyDescent="0.25">
      <c r="F40" s="887"/>
      <c r="G40" s="392">
        <v>2</v>
      </c>
      <c r="H40" s="890" t="s">
        <v>504</v>
      </c>
      <c r="I40" s="891"/>
      <c r="J40" s="411">
        <v>8.01</v>
      </c>
      <c r="K40" s="365"/>
      <c r="L40" s="365"/>
    </row>
    <row r="41" spans="1:12" x14ac:dyDescent="0.25">
      <c r="F41" s="887"/>
      <c r="G41" s="392">
        <v>3</v>
      </c>
      <c r="H41" s="890" t="s">
        <v>505</v>
      </c>
      <c r="I41" s="891"/>
      <c r="J41" s="411">
        <v>8.9</v>
      </c>
      <c r="K41" s="365"/>
      <c r="L41" s="365"/>
    </row>
    <row r="42" spans="1:12" x14ac:dyDescent="0.25">
      <c r="F42" s="887"/>
      <c r="G42" s="392">
        <v>4</v>
      </c>
      <c r="H42" s="890" t="s">
        <v>506</v>
      </c>
      <c r="I42" s="891"/>
      <c r="J42" s="411">
        <v>8</v>
      </c>
      <c r="K42" s="365"/>
      <c r="L42" s="365"/>
    </row>
    <row r="43" spans="1:12" x14ac:dyDescent="0.25">
      <c r="F43" s="887"/>
      <c r="G43" s="392">
        <v>5</v>
      </c>
      <c r="H43" s="890" t="s">
        <v>507</v>
      </c>
      <c r="I43" s="891"/>
      <c r="J43" s="411">
        <v>4.7</v>
      </c>
      <c r="K43" s="365"/>
      <c r="L43" s="365"/>
    </row>
    <row r="44" spans="1:12" x14ac:dyDescent="0.25">
      <c r="F44" s="887"/>
      <c r="G44" s="392">
        <v>6</v>
      </c>
      <c r="H44" s="890" t="s">
        <v>508</v>
      </c>
      <c r="I44" s="891"/>
      <c r="J44" s="410">
        <v>12.3</v>
      </c>
      <c r="K44" s="365"/>
      <c r="L44" s="365"/>
    </row>
    <row r="45" spans="1:12" x14ac:dyDescent="0.25">
      <c r="F45" s="887"/>
      <c r="G45" s="883" t="s">
        <v>478</v>
      </c>
      <c r="H45" s="884"/>
      <c r="I45" s="885"/>
      <c r="J45" s="396">
        <f>AVERAGE(J38:J44)</f>
        <v>7.7283333333333344</v>
      </c>
      <c r="K45" s="365"/>
      <c r="L45" s="365"/>
    </row>
    <row r="46" spans="1:12" x14ac:dyDescent="0.25">
      <c r="F46" s="365"/>
      <c r="G46" s="365"/>
      <c r="H46" s="365"/>
      <c r="I46" s="365"/>
      <c r="J46" s="365"/>
      <c r="K46" s="365"/>
      <c r="L46" s="365"/>
    </row>
    <row r="47" spans="1:12" x14ac:dyDescent="0.25">
      <c r="F47" s="404" t="s">
        <v>509</v>
      </c>
      <c r="G47" s="404" t="s">
        <v>510</v>
      </c>
      <c r="H47" s="404" t="s">
        <v>511</v>
      </c>
      <c r="I47" s="365"/>
      <c r="J47" s="365"/>
      <c r="K47" s="365"/>
      <c r="L47" s="365"/>
    </row>
    <row r="48" spans="1:12" ht="24" x14ac:dyDescent="0.25">
      <c r="F48" s="405">
        <v>1</v>
      </c>
      <c r="G48" s="413" t="s">
        <v>512</v>
      </c>
      <c r="H48" s="414">
        <v>7.9</v>
      </c>
      <c r="I48" s="365"/>
      <c r="J48" s="365"/>
      <c r="K48" s="365"/>
      <c r="L48" s="365"/>
    </row>
    <row r="49" spans="1:12" x14ac:dyDescent="0.25">
      <c r="F49" s="365"/>
      <c r="G49" s="365"/>
      <c r="H49" s="365"/>
      <c r="I49" s="365"/>
      <c r="J49" s="365"/>
      <c r="K49" s="365"/>
      <c r="L49" s="365"/>
    </row>
    <row r="52" spans="1:12" x14ac:dyDescent="0.25">
      <c r="E52" s="633"/>
      <c r="F52" s="881" t="s">
        <v>2899</v>
      </c>
      <c r="G52" s="882"/>
    </row>
    <row r="53" spans="1:12" x14ac:dyDescent="0.25">
      <c r="E53" s="404" t="s">
        <v>2901</v>
      </c>
      <c r="F53" s="404" t="s">
        <v>2900</v>
      </c>
      <c r="G53" s="404" t="s">
        <v>2901</v>
      </c>
    </row>
    <row r="54" spans="1:12" x14ac:dyDescent="0.25">
      <c r="A54" s="404" t="s">
        <v>2897</v>
      </c>
      <c r="B54" s="881" t="s">
        <v>1730</v>
      </c>
      <c r="C54" s="882"/>
      <c r="D54" s="632" t="s">
        <v>2898</v>
      </c>
      <c r="E54" s="627"/>
      <c r="F54" s="627"/>
      <c r="G54" s="628"/>
    </row>
    <row r="55" spans="1:12" x14ac:dyDescent="0.25">
      <c r="A55" s="404" t="s">
        <v>369</v>
      </c>
      <c r="B55" s="404" t="s">
        <v>2900</v>
      </c>
      <c r="C55" s="404" t="s">
        <v>2901</v>
      </c>
      <c r="D55" s="404" t="s">
        <v>2900</v>
      </c>
      <c r="E55" s="618">
        <v>15.6</v>
      </c>
      <c r="F55" s="618">
        <v>1.3</v>
      </c>
      <c r="G55" s="618">
        <v>1.2</v>
      </c>
    </row>
    <row r="56" spans="1:12" x14ac:dyDescent="0.25">
      <c r="A56" s="404" t="s">
        <v>2902</v>
      </c>
      <c r="B56" s="626"/>
      <c r="C56" s="627"/>
      <c r="D56" s="627"/>
      <c r="E56" s="618">
        <v>33.4</v>
      </c>
      <c r="F56" s="618">
        <v>2.2000000000000002</v>
      </c>
      <c r="G56" s="618">
        <v>2.2000000000000002</v>
      </c>
    </row>
    <row r="57" spans="1:12" x14ac:dyDescent="0.25">
      <c r="A57" s="399" t="s">
        <v>2903</v>
      </c>
      <c r="B57" s="618">
        <v>9.4</v>
      </c>
      <c r="C57" s="618">
        <v>7.5</v>
      </c>
      <c r="D57" s="618">
        <v>22.7</v>
      </c>
      <c r="E57" s="618">
        <v>17.829999999999998</v>
      </c>
      <c r="F57" s="618">
        <v>2.31</v>
      </c>
      <c r="G57" s="618">
        <v>2.17</v>
      </c>
    </row>
    <row r="58" spans="1:12" x14ac:dyDescent="0.25">
      <c r="A58" s="399" t="s">
        <v>2904</v>
      </c>
      <c r="B58" s="618">
        <v>20.399999999999999</v>
      </c>
      <c r="C58" s="618">
        <v>14.4</v>
      </c>
      <c r="D58" s="618" t="s">
        <v>2905</v>
      </c>
      <c r="E58" s="618">
        <v>20.02</v>
      </c>
      <c r="F58" s="618">
        <v>0.77</v>
      </c>
      <c r="G58" s="618">
        <v>0.75</v>
      </c>
    </row>
    <row r="59" spans="1:12" x14ac:dyDescent="0.25">
      <c r="A59" s="399" t="s">
        <v>2906</v>
      </c>
      <c r="B59" s="618">
        <v>11.13</v>
      </c>
      <c r="C59" s="618">
        <v>9.85</v>
      </c>
      <c r="D59" s="618">
        <v>21.78</v>
      </c>
      <c r="E59" s="618">
        <v>27.85</v>
      </c>
      <c r="F59" s="618">
        <v>1.89</v>
      </c>
      <c r="G59" s="618">
        <v>1.84</v>
      </c>
    </row>
    <row r="60" spans="1:12" x14ac:dyDescent="0.25">
      <c r="A60" s="399" t="s">
        <v>2907</v>
      </c>
      <c r="B60" s="618">
        <v>10.55</v>
      </c>
      <c r="C60" s="618">
        <v>8.2200000000000006</v>
      </c>
      <c r="D60" s="618">
        <v>29.22</v>
      </c>
      <c r="E60" s="618" t="s">
        <v>2905</v>
      </c>
      <c r="F60" s="618">
        <v>2.75</v>
      </c>
      <c r="G60" s="618">
        <v>3.01</v>
      </c>
    </row>
    <row r="61" spans="1:12" x14ac:dyDescent="0.25">
      <c r="A61" s="399" t="s">
        <v>2908</v>
      </c>
      <c r="B61" s="618">
        <v>14.13</v>
      </c>
      <c r="C61" s="618">
        <v>12.58</v>
      </c>
      <c r="D61" s="618">
        <v>30.24</v>
      </c>
      <c r="E61" s="630"/>
      <c r="F61" s="630"/>
      <c r="G61" s="631"/>
    </row>
    <row r="62" spans="1:12" x14ac:dyDescent="0.25">
      <c r="A62" s="399" t="s">
        <v>2909</v>
      </c>
      <c r="B62" s="618">
        <v>16.96</v>
      </c>
      <c r="C62" s="618">
        <v>12.34</v>
      </c>
      <c r="D62" s="618" t="s">
        <v>2905</v>
      </c>
      <c r="E62" s="618">
        <v>13.44</v>
      </c>
      <c r="F62" s="618">
        <v>3.57</v>
      </c>
      <c r="G62" s="618">
        <v>3.57</v>
      </c>
    </row>
    <row r="63" spans="1:12" x14ac:dyDescent="0.25">
      <c r="A63" s="404" t="s">
        <v>2910</v>
      </c>
      <c r="B63" s="629"/>
      <c r="C63" s="630"/>
      <c r="D63" s="630"/>
      <c r="E63" s="618">
        <v>12.01</v>
      </c>
      <c r="F63" s="618">
        <v>2.19</v>
      </c>
      <c r="G63" s="618">
        <v>2.35</v>
      </c>
    </row>
    <row r="64" spans="1:12" x14ac:dyDescent="0.25">
      <c r="A64" s="399" t="s">
        <v>2911</v>
      </c>
      <c r="B64" s="618">
        <v>17.649999999999999</v>
      </c>
      <c r="C64" s="618">
        <v>11.54</v>
      </c>
      <c r="D64" s="618">
        <v>22.69</v>
      </c>
      <c r="E64" s="618">
        <v>9.9</v>
      </c>
      <c r="F64" s="618">
        <v>2</v>
      </c>
      <c r="G64" s="618">
        <v>2</v>
      </c>
    </row>
    <row r="65" spans="1:7" x14ac:dyDescent="0.25">
      <c r="A65" s="399" t="s">
        <v>2912</v>
      </c>
      <c r="B65" s="618">
        <v>12.44</v>
      </c>
      <c r="C65" s="618">
        <v>12.15</v>
      </c>
      <c r="D65" s="618">
        <v>14.12</v>
      </c>
      <c r="E65" s="618">
        <v>10.6</v>
      </c>
      <c r="F65" s="618">
        <v>2</v>
      </c>
      <c r="G65" s="618">
        <v>2.4</v>
      </c>
    </row>
    <row r="66" spans="1:7" x14ac:dyDescent="0.25">
      <c r="A66" s="399" t="s">
        <v>2913</v>
      </c>
      <c r="B66" s="618">
        <v>10.39</v>
      </c>
      <c r="C66" s="618">
        <v>9.1999999999999993</v>
      </c>
      <c r="D66" s="618">
        <v>11</v>
      </c>
      <c r="E66" s="618">
        <v>16.8</v>
      </c>
      <c r="F66" s="618">
        <v>2.2999999999999998</v>
      </c>
      <c r="G66" s="618">
        <v>2.1</v>
      </c>
    </row>
    <row r="67" spans="1:7" x14ac:dyDescent="0.25">
      <c r="A67" s="399" t="s">
        <v>2914</v>
      </c>
      <c r="B67" s="618">
        <v>9.98</v>
      </c>
      <c r="C67" s="618">
        <v>6.54</v>
      </c>
      <c r="D67" s="618">
        <v>31.3</v>
      </c>
      <c r="E67" s="618">
        <v>7.01</v>
      </c>
      <c r="F67" s="618">
        <v>1</v>
      </c>
      <c r="G67" s="618">
        <v>1</v>
      </c>
    </row>
    <row r="68" spans="1:7" x14ac:dyDescent="0.25">
      <c r="A68" s="399" t="s">
        <v>2915</v>
      </c>
      <c r="B68" s="618">
        <v>9.9700000000000006</v>
      </c>
      <c r="C68" s="618">
        <v>8.83</v>
      </c>
      <c r="D68" s="618">
        <v>19.5</v>
      </c>
      <c r="E68" s="618">
        <v>9.43</v>
      </c>
      <c r="F68" s="618">
        <v>3.2</v>
      </c>
      <c r="G68" s="618">
        <v>3.4</v>
      </c>
    </row>
    <row r="69" spans="1:7" x14ac:dyDescent="0.25">
      <c r="A69" s="399" t="s">
        <v>2916</v>
      </c>
      <c r="B69" s="618">
        <v>5.64</v>
      </c>
      <c r="C69" s="618">
        <v>6.38</v>
      </c>
      <c r="D69" s="618">
        <v>7.28</v>
      </c>
      <c r="E69" s="618">
        <v>8.25</v>
      </c>
      <c r="F69" s="618">
        <v>1.1000000000000001</v>
      </c>
      <c r="G69" s="618">
        <v>1</v>
      </c>
    </row>
    <row r="70" spans="1:7" x14ac:dyDescent="0.25">
      <c r="A70" s="399" t="s">
        <v>2917</v>
      </c>
      <c r="B70" s="618">
        <v>4.72</v>
      </c>
      <c r="C70" s="618">
        <v>3.97</v>
      </c>
      <c r="D70" s="618">
        <v>10.75</v>
      </c>
      <c r="E70" s="618">
        <v>7.85</v>
      </c>
      <c r="F70" s="618">
        <v>2.1</v>
      </c>
      <c r="G70" s="618">
        <v>1.9</v>
      </c>
    </row>
    <row r="71" spans="1:7" x14ac:dyDescent="0.25">
      <c r="A71" s="399" t="s">
        <v>2918</v>
      </c>
      <c r="B71" s="618">
        <v>5.29</v>
      </c>
      <c r="C71" s="618">
        <v>3.87</v>
      </c>
      <c r="D71" s="618">
        <v>9.48</v>
      </c>
      <c r="E71" s="618">
        <v>9</v>
      </c>
      <c r="F71" s="618">
        <v>1.4</v>
      </c>
      <c r="G71" s="618">
        <v>1.6</v>
      </c>
    </row>
    <row r="72" spans="1:7" x14ac:dyDescent="0.25">
      <c r="A72" s="399" t="s">
        <v>2919</v>
      </c>
      <c r="B72" s="618">
        <v>6.09</v>
      </c>
      <c r="C72" s="618">
        <v>5.72</v>
      </c>
      <c r="D72" s="618">
        <v>8.01</v>
      </c>
      <c r="E72" s="618">
        <v>9.1999999999999993</v>
      </c>
      <c r="F72" s="618">
        <v>4.5199999999999996</v>
      </c>
      <c r="G72" s="618">
        <v>3.96</v>
      </c>
    </row>
    <row r="73" spans="1:7" x14ac:dyDescent="0.25">
      <c r="A73" s="399" t="s">
        <v>2920</v>
      </c>
      <c r="B73" s="618">
        <v>7.22</v>
      </c>
      <c r="C73" s="618">
        <v>6.29</v>
      </c>
      <c r="D73" s="618">
        <v>13.94</v>
      </c>
      <c r="E73" s="621">
        <v>6.16</v>
      </c>
      <c r="F73" s="621">
        <v>1.08</v>
      </c>
      <c r="G73" s="621">
        <v>0.97</v>
      </c>
    </row>
    <row r="74" spans="1:7" x14ac:dyDescent="0.25">
      <c r="A74" s="399" t="s">
        <v>2921</v>
      </c>
      <c r="B74" s="618">
        <v>8.8699999999999992</v>
      </c>
      <c r="C74" s="618">
        <v>6.98</v>
      </c>
      <c r="D74" s="618">
        <v>11.69</v>
      </c>
      <c r="E74" s="619">
        <v>22.9</v>
      </c>
      <c r="F74" s="619">
        <v>1.9</v>
      </c>
      <c r="G74" s="619">
        <v>1.9</v>
      </c>
    </row>
    <row r="75" spans="1:7" x14ac:dyDescent="0.25">
      <c r="A75" s="620" t="s">
        <v>1781</v>
      </c>
      <c r="B75" s="621">
        <v>5.04</v>
      </c>
      <c r="C75" s="621">
        <v>4.8</v>
      </c>
      <c r="D75" s="621">
        <v>7.6</v>
      </c>
      <c r="E75" s="619">
        <v>10.3</v>
      </c>
      <c r="F75" s="619">
        <v>2.2999999999999998</v>
      </c>
      <c r="G75" s="619">
        <v>2.2999999999999998</v>
      </c>
    </row>
    <row r="76" spans="1:7" x14ac:dyDescent="0.25">
      <c r="A76" s="404" t="s">
        <v>2922</v>
      </c>
      <c r="B76" s="619">
        <v>13.8</v>
      </c>
      <c r="C76" s="619">
        <v>10.8</v>
      </c>
      <c r="D76" s="619">
        <v>26</v>
      </c>
      <c r="E76" s="619">
        <v>14.3</v>
      </c>
      <c r="F76" s="619">
        <v>2.2000000000000002</v>
      </c>
      <c r="G76" s="619">
        <v>2.2000000000000002</v>
      </c>
    </row>
    <row r="77" spans="1:7" x14ac:dyDescent="0.25">
      <c r="A77" s="404" t="s">
        <v>2923</v>
      </c>
      <c r="B77" s="619">
        <v>8.9</v>
      </c>
      <c r="C77" s="619">
        <v>7.4</v>
      </c>
      <c r="D77" s="619">
        <v>14.5</v>
      </c>
    </row>
    <row r="78" spans="1:7" x14ac:dyDescent="0.25">
      <c r="A78" s="404" t="s">
        <v>2924</v>
      </c>
      <c r="B78" s="619">
        <v>10.6</v>
      </c>
      <c r="C78" s="619">
        <v>8.6</v>
      </c>
      <c r="D78" s="619">
        <v>17.600000000000001</v>
      </c>
    </row>
  </sheetData>
  <mergeCells count="43">
    <mergeCell ref="A16:D16"/>
    <mergeCell ref="F1:G1"/>
    <mergeCell ref="I7:J7"/>
    <mergeCell ref="F12:F21"/>
    <mergeCell ref="G12:G13"/>
    <mergeCell ref="H12:I13"/>
    <mergeCell ref="J12:J13"/>
    <mergeCell ref="H14:I14"/>
    <mergeCell ref="H15:I15"/>
    <mergeCell ref="H16:I16"/>
    <mergeCell ref="H17:I17"/>
    <mergeCell ref="H18:I18"/>
    <mergeCell ref="H19:I19"/>
    <mergeCell ref="H20:I20"/>
    <mergeCell ref="G21:I21"/>
    <mergeCell ref="F23:F24"/>
    <mergeCell ref="G23:G24"/>
    <mergeCell ref="H23:I24"/>
    <mergeCell ref="J23:J24"/>
    <mergeCell ref="H25:I25"/>
    <mergeCell ref="H26:I26"/>
    <mergeCell ref="H27:I27"/>
    <mergeCell ref="H28:I28"/>
    <mergeCell ref="H29:I29"/>
    <mergeCell ref="H44:I44"/>
    <mergeCell ref="H30:I30"/>
    <mergeCell ref="H31:I31"/>
    <mergeCell ref="H32:I32"/>
    <mergeCell ref="H33:I33"/>
    <mergeCell ref="H34:I34"/>
    <mergeCell ref="G35:I35"/>
    <mergeCell ref="J37:J38"/>
    <mergeCell ref="H39:I39"/>
    <mergeCell ref="H40:I40"/>
    <mergeCell ref="H41:I41"/>
    <mergeCell ref="H42:I42"/>
    <mergeCell ref="B54:C54"/>
    <mergeCell ref="F52:G52"/>
    <mergeCell ref="G45:I45"/>
    <mergeCell ref="F37:F45"/>
    <mergeCell ref="G37:G38"/>
    <mergeCell ref="H37:I38"/>
    <mergeCell ref="H43:I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36"/>
  <sheetViews>
    <sheetView topLeftCell="A33" workbookViewId="0">
      <selection activeCell="N44" sqref="N44"/>
    </sheetView>
  </sheetViews>
  <sheetFormatPr defaultRowHeight="13.2" x14ac:dyDescent="0.25"/>
  <sheetData>
    <row r="1" spans="1:12" ht="13.8" thickBot="1" x14ac:dyDescent="0.3">
      <c r="A1" s="753" t="s">
        <v>3284</v>
      </c>
      <c r="B1" s="753" t="s">
        <v>3285</v>
      </c>
      <c r="C1" s="753" t="s">
        <v>3286</v>
      </c>
      <c r="D1" s="753" t="s">
        <v>3287</v>
      </c>
      <c r="E1" s="753" t="s">
        <v>3288</v>
      </c>
    </row>
    <row r="2" spans="1:12" x14ac:dyDescent="0.25">
      <c r="A2" s="754" t="s">
        <v>3289</v>
      </c>
      <c r="B2" s="754" t="s">
        <v>3290</v>
      </c>
      <c r="C2" s="754">
        <v>784</v>
      </c>
      <c r="D2" s="754" t="s">
        <v>3291</v>
      </c>
      <c r="E2" s="755" t="s">
        <v>3292</v>
      </c>
      <c r="H2" t="s">
        <v>3295</v>
      </c>
      <c r="L2" t="s">
        <v>3289</v>
      </c>
    </row>
    <row r="3" spans="1:12" ht="19.2" x14ac:dyDescent="0.25">
      <c r="A3" s="756" t="s">
        <v>3293</v>
      </c>
      <c r="B3" s="756" t="s">
        <v>3294</v>
      </c>
      <c r="C3" s="756">
        <v>971</v>
      </c>
      <c r="D3" s="756" t="s">
        <v>3295</v>
      </c>
      <c r="E3" s="757" t="s">
        <v>3296</v>
      </c>
      <c r="H3" t="s">
        <v>3428</v>
      </c>
      <c r="L3" t="s">
        <v>3293</v>
      </c>
    </row>
    <row r="4" spans="1:12" x14ac:dyDescent="0.25">
      <c r="A4" s="754" t="s">
        <v>3297</v>
      </c>
      <c r="B4" s="754" t="s">
        <v>3298</v>
      </c>
      <c r="C4" s="754">
        <v>8</v>
      </c>
      <c r="D4" s="754" t="s">
        <v>3299</v>
      </c>
      <c r="E4" s="755" t="s">
        <v>3300</v>
      </c>
      <c r="H4" t="s">
        <v>3311</v>
      </c>
      <c r="L4" t="s">
        <v>3297</v>
      </c>
    </row>
    <row r="5" spans="1:12" ht="19.2" x14ac:dyDescent="0.25">
      <c r="A5" s="754" t="s">
        <v>3301</v>
      </c>
      <c r="B5" s="754" t="s">
        <v>3302</v>
      </c>
      <c r="C5" s="754">
        <v>51</v>
      </c>
      <c r="D5" s="754" t="s">
        <v>3303</v>
      </c>
      <c r="E5" s="755" t="s">
        <v>3304</v>
      </c>
      <c r="H5" t="s">
        <v>3303</v>
      </c>
      <c r="L5" t="s">
        <v>3301</v>
      </c>
    </row>
    <row r="6" spans="1:12" x14ac:dyDescent="0.25">
      <c r="A6" s="754" t="s">
        <v>3305</v>
      </c>
      <c r="B6" s="754" t="s">
        <v>3306</v>
      </c>
      <c r="C6" s="754">
        <v>973</v>
      </c>
      <c r="D6" s="754" t="s">
        <v>3307</v>
      </c>
      <c r="E6" s="755" t="s">
        <v>3308</v>
      </c>
      <c r="H6" t="s">
        <v>3322</v>
      </c>
      <c r="L6" t="s">
        <v>3305</v>
      </c>
    </row>
    <row r="7" spans="1:12" ht="19.2" x14ac:dyDescent="0.25">
      <c r="A7" s="754" t="s">
        <v>3309</v>
      </c>
      <c r="B7" s="754" t="s">
        <v>3310</v>
      </c>
      <c r="C7" s="754">
        <v>32</v>
      </c>
      <c r="D7" s="754" t="s">
        <v>3311</v>
      </c>
      <c r="E7" s="755" t="s">
        <v>3312</v>
      </c>
      <c r="H7" t="s">
        <v>3314</v>
      </c>
      <c r="L7" t="s">
        <v>3309</v>
      </c>
    </row>
    <row r="8" spans="1:12" ht="12.45" customHeight="1" x14ac:dyDescent="0.25">
      <c r="A8" s="903" t="s">
        <v>3313</v>
      </c>
      <c r="B8" s="903" t="s">
        <v>3310</v>
      </c>
      <c r="C8" s="903">
        <v>36</v>
      </c>
      <c r="D8" s="903" t="s">
        <v>3314</v>
      </c>
      <c r="E8" s="755" t="s">
        <v>3315</v>
      </c>
      <c r="H8" t="s">
        <v>3326</v>
      </c>
      <c r="L8" t="s">
        <v>3313</v>
      </c>
    </row>
    <row r="9" spans="1:12" x14ac:dyDescent="0.25">
      <c r="A9" s="904"/>
      <c r="B9" s="904"/>
      <c r="C9" s="904"/>
      <c r="D9" s="904"/>
      <c r="E9" s="758" t="s">
        <v>3316</v>
      </c>
      <c r="H9" t="s">
        <v>3367</v>
      </c>
      <c r="L9" t="s">
        <v>3320</v>
      </c>
    </row>
    <row r="10" spans="1:12" ht="19.2" x14ac:dyDescent="0.25">
      <c r="A10" s="904"/>
      <c r="B10" s="904"/>
      <c r="C10" s="904"/>
      <c r="D10" s="904"/>
      <c r="E10" s="758" t="s">
        <v>3317</v>
      </c>
      <c r="H10" t="s">
        <v>3345</v>
      </c>
      <c r="L10" t="s">
        <v>3324</v>
      </c>
    </row>
    <row r="11" spans="1:12" x14ac:dyDescent="0.25">
      <c r="A11" s="904"/>
      <c r="B11" s="904"/>
      <c r="C11" s="904"/>
      <c r="D11" s="904"/>
      <c r="E11" s="758" t="s">
        <v>3318</v>
      </c>
      <c r="H11" t="s">
        <v>3778</v>
      </c>
      <c r="L11" t="s">
        <v>3328</v>
      </c>
    </row>
    <row r="12" spans="1:12" x14ac:dyDescent="0.25">
      <c r="A12" s="905"/>
      <c r="B12" s="905"/>
      <c r="C12" s="905"/>
      <c r="D12" s="905"/>
      <c r="E12" s="758" t="s">
        <v>3319</v>
      </c>
      <c r="H12" t="s">
        <v>3690</v>
      </c>
      <c r="L12" t="s">
        <v>3332</v>
      </c>
    </row>
    <row r="13" spans="1:12" ht="28.8" x14ac:dyDescent="0.25">
      <c r="A13" s="754" t="s">
        <v>3320</v>
      </c>
      <c r="B13" s="754" t="s">
        <v>3321</v>
      </c>
      <c r="C13" s="754">
        <v>533</v>
      </c>
      <c r="D13" s="754" t="s">
        <v>3322</v>
      </c>
      <c r="E13" s="755" t="s">
        <v>3323</v>
      </c>
      <c r="H13" t="s">
        <v>3333</v>
      </c>
      <c r="L13" t="s">
        <v>3335</v>
      </c>
    </row>
    <row r="14" spans="1:12" ht="19.2" x14ac:dyDescent="0.25">
      <c r="A14" s="754" t="s">
        <v>3324</v>
      </c>
      <c r="B14" s="754" t="s">
        <v>3325</v>
      </c>
      <c r="C14" s="754">
        <v>944</v>
      </c>
      <c r="D14" s="754" t="s">
        <v>3326</v>
      </c>
      <c r="E14" s="755" t="s">
        <v>3327</v>
      </c>
      <c r="H14" t="s">
        <v>3378</v>
      </c>
      <c r="L14" t="s">
        <v>3339</v>
      </c>
    </row>
    <row r="15" spans="1:12" ht="38.4" x14ac:dyDescent="0.25">
      <c r="A15" s="754" t="s">
        <v>3328</v>
      </c>
      <c r="B15" s="754" t="s">
        <v>3329</v>
      </c>
      <c r="C15" s="754">
        <v>977</v>
      </c>
      <c r="D15" s="754" t="s">
        <v>3330</v>
      </c>
      <c r="E15" s="755" t="s">
        <v>3331</v>
      </c>
      <c r="H15" t="s">
        <v>3381</v>
      </c>
      <c r="L15" t="s">
        <v>3343</v>
      </c>
    </row>
    <row r="16" spans="1:12" ht="19.2" x14ac:dyDescent="0.25">
      <c r="A16" s="754" t="s">
        <v>3332</v>
      </c>
      <c r="B16" s="754" t="s">
        <v>3310</v>
      </c>
      <c r="C16" s="754">
        <v>52</v>
      </c>
      <c r="D16" s="754" t="s">
        <v>3333</v>
      </c>
      <c r="E16" s="755" t="s">
        <v>3334</v>
      </c>
      <c r="H16" t="s">
        <v>3352</v>
      </c>
      <c r="L16" t="s">
        <v>3347</v>
      </c>
    </row>
    <row r="17" spans="1:12" ht="19.2" x14ac:dyDescent="0.25">
      <c r="A17" s="754" t="s">
        <v>3335</v>
      </c>
      <c r="B17" s="754" t="s">
        <v>3336</v>
      </c>
      <c r="C17" s="754">
        <v>50</v>
      </c>
      <c r="D17" s="754" t="s">
        <v>3337</v>
      </c>
      <c r="E17" s="755" t="s">
        <v>3338</v>
      </c>
      <c r="H17" t="s">
        <v>3839</v>
      </c>
      <c r="L17" t="s">
        <v>3351</v>
      </c>
    </row>
    <row r="18" spans="1:12" ht="19.2" x14ac:dyDescent="0.25">
      <c r="A18" s="754" t="s">
        <v>3339</v>
      </c>
      <c r="B18" s="754" t="s">
        <v>3340</v>
      </c>
      <c r="C18" s="754">
        <v>975</v>
      </c>
      <c r="D18" s="754" t="s">
        <v>3341</v>
      </c>
      <c r="E18" s="755" t="s">
        <v>3342</v>
      </c>
      <c r="H18" t="s">
        <v>3360</v>
      </c>
      <c r="L18" t="s">
        <v>3354</v>
      </c>
    </row>
    <row r="19" spans="1:12" ht="19.2" x14ac:dyDescent="0.25">
      <c r="A19" s="754" t="s">
        <v>3343</v>
      </c>
      <c r="B19" s="754" t="s">
        <v>3344</v>
      </c>
      <c r="C19" s="754">
        <v>48</v>
      </c>
      <c r="D19" s="754" t="s">
        <v>3345</v>
      </c>
      <c r="E19" s="755" t="s">
        <v>3346</v>
      </c>
      <c r="H19" t="s">
        <v>3364</v>
      </c>
      <c r="L19" t="s">
        <v>3358</v>
      </c>
    </row>
    <row r="20" spans="1:12" ht="19.2" x14ac:dyDescent="0.25">
      <c r="A20" s="754" t="s">
        <v>3347</v>
      </c>
      <c r="B20" s="754" t="s">
        <v>3348</v>
      </c>
      <c r="C20" s="754">
        <v>108</v>
      </c>
      <c r="D20" s="754" t="s">
        <v>3349</v>
      </c>
      <c r="E20" s="755" t="s">
        <v>3350</v>
      </c>
      <c r="H20" t="s">
        <v>3355</v>
      </c>
      <c r="L20" t="s">
        <v>3362</v>
      </c>
    </row>
    <row r="21" spans="1:12" ht="19.2" x14ac:dyDescent="0.25">
      <c r="A21" s="754" t="s">
        <v>3351</v>
      </c>
      <c r="B21" s="754" t="s">
        <v>3310</v>
      </c>
      <c r="C21" s="754">
        <v>60</v>
      </c>
      <c r="D21" s="754" t="s">
        <v>3352</v>
      </c>
      <c r="E21" s="755" t="s">
        <v>3353</v>
      </c>
      <c r="H21" t="s">
        <v>3341</v>
      </c>
      <c r="L21" t="s">
        <v>3366</v>
      </c>
    </row>
    <row r="22" spans="1:12" x14ac:dyDescent="0.25">
      <c r="A22" s="903" t="s">
        <v>3354</v>
      </c>
      <c r="B22" s="903" t="s">
        <v>3310</v>
      </c>
      <c r="C22" s="903">
        <v>96</v>
      </c>
      <c r="D22" s="903" t="s">
        <v>3355</v>
      </c>
      <c r="E22" s="755" t="s">
        <v>3356</v>
      </c>
      <c r="H22" t="s">
        <v>3349</v>
      </c>
      <c r="L22" t="s">
        <v>3369</v>
      </c>
    </row>
    <row r="23" spans="1:12" x14ac:dyDescent="0.25">
      <c r="A23" s="905"/>
      <c r="B23" s="905"/>
      <c r="C23" s="905"/>
      <c r="D23" s="905"/>
      <c r="E23" s="758" t="s">
        <v>3357</v>
      </c>
      <c r="H23" t="s">
        <v>3384</v>
      </c>
      <c r="L23" t="s">
        <v>3372</v>
      </c>
    </row>
    <row r="24" spans="1:12" x14ac:dyDescent="0.25">
      <c r="A24" s="754" t="s">
        <v>3358</v>
      </c>
      <c r="B24" s="754" t="s">
        <v>3359</v>
      </c>
      <c r="C24" s="754">
        <v>68</v>
      </c>
      <c r="D24" s="754" t="s">
        <v>3360</v>
      </c>
      <c r="E24" s="755" t="s">
        <v>3361</v>
      </c>
      <c r="H24" t="s">
        <v>3410</v>
      </c>
      <c r="L24" t="s">
        <v>3376</v>
      </c>
    </row>
    <row r="25" spans="1:12" ht="19.2" x14ac:dyDescent="0.25">
      <c r="A25" s="754" t="s">
        <v>3362</v>
      </c>
      <c r="B25" s="754" t="s">
        <v>3363</v>
      </c>
      <c r="C25" s="754">
        <v>986</v>
      </c>
      <c r="D25" s="754" t="s">
        <v>3364</v>
      </c>
      <c r="E25" s="755" t="s">
        <v>3365</v>
      </c>
      <c r="H25" t="s">
        <v>3581</v>
      </c>
      <c r="L25" t="s">
        <v>3380</v>
      </c>
    </row>
    <row r="26" spans="1:12" ht="19.2" x14ac:dyDescent="0.25">
      <c r="A26" s="754" t="s">
        <v>3366</v>
      </c>
      <c r="B26" s="754" t="s">
        <v>3310</v>
      </c>
      <c r="C26" s="754">
        <v>44</v>
      </c>
      <c r="D26" s="754" t="s">
        <v>3367</v>
      </c>
      <c r="E26" s="755" t="s">
        <v>3368</v>
      </c>
      <c r="H26" t="s">
        <v>3488</v>
      </c>
      <c r="L26" t="s">
        <v>3383</v>
      </c>
    </row>
    <row r="27" spans="1:12" x14ac:dyDescent="0.25">
      <c r="A27" s="754" t="s">
        <v>3369</v>
      </c>
      <c r="B27" s="754"/>
      <c r="C27" s="754">
        <v>64</v>
      </c>
      <c r="D27" s="754" t="s">
        <v>3370</v>
      </c>
      <c r="E27" s="755" t="s">
        <v>3371</v>
      </c>
      <c r="H27" t="s">
        <v>3854</v>
      </c>
      <c r="L27" t="s">
        <v>3386</v>
      </c>
    </row>
    <row r="28" spans="1:12" x14ac:dyDescent="0.25">
      <c r="A28" s="754" t="s">
        <v>3372</v>
      </c>
      <c r="B28" s="754" t="s">
        <v>3373</v>
      </c>
      <c r="C28" s="754">
        <v>72</v>
      </c>
      <c r="D28" s="754" t="s">
        <v>3374</v>
      </c>
      <c r="E28" s="755" t="s">
        <v>3375</v>
      </c>
      <c r="H28" t="s">
        <v>3880</v>
      </c>
      <c r="L28" t="s">
        <v>3389</v>
      </c>
    </row>
    <row r="29" spans="1:12" ht="19.2" x14ac:dyDescent="0.25">
      <c r="A29" s="754" t="s">
        <v>3376</v>
      </c>
      <c r="B29" s="754" t="s">
        <v>3377</v>
      </c>
      <c r="C29" s="754">
        <v>933</v>
      </c>
      <c r="D29" s="754" t="s">
        <v>3378</v>
      </c>
      <c r="E29" s="755" t="s">
        <v>3379</v>
      </c>
      <c r="H29" t="s">
        <v>3394</v>
      </c>
      <c r="L29" t="s">
        <v>3393</v>
      </c>
    </row>
    <row r="30" spans="1:12" x14ac:dyDescent="0.25">
      <c r="A30" s="754" t="s">
        <v>3380</v>
      </c>
      <c r="B30" s="754" t="s">
        <v>3310</v>
      </c>
      <c r="C30" s="754">
        <v>84</v>
      </c>
      <c r="D30" s="754" t="s">
        <v>3381</v>
      </c>
      <c r="E30" s="755" t="s">
        <v>3382</v>
      </c>
      <c r="H30" t="s">
        <v>3400</v>
      </c>
      <c r="L30" t="s">
        <v>3396</v>
      </c>
    </row>
    <row r="31" spans="1:12" ht="19.2" x14ac:dyDescent="0.25">
      <c r="A31" s="754" t="s">
        <v>3383</v>
      </c>
      <c r="B31" s="754" t="s">
        <v>3310</v>
      </c>
      <c r="C31" s="754">
        <v>124</v>
      </c>
      <c r="D31" s="754" t="s">
        <v>3384</v>
      </c>
      <c r="E31" s="755" t="s">
        <v>3385</v>
      </c>
      <c r="H31" t="s">
        <v>3387</v>
      </c>
      <c r="L31" t="s">
        <v>3399</v>
      </c>
    </row>
    <row r="32" spans="1:12" ht="28.8" x14ac:dyDescent="0.25">
      <c r="A32" s="754" t="s">
        <v>3386</v>
      </c>
      <c r="B32" s="754" t="s">
        <v>3348</v>
      </c>
      <c r="C32" s="754">
        <v>976</v>
      </c>
      <c r="D32" s="754" t="s">
        <v>3387</v>
      </c>
      <c r="E32" s="755" t="s">
        <v>3388</v>
      </c>
      <c r="H32" t="s">
        <v>3670</v>
      </c>
      <c r="L32" t="s">
        <v>3402</v>
      </c>
    </row>
    <row r="33" spans="1:12" ht="19.2" x14ac:dyDescent="0.25">
      <c r="A33" s="903" t="s">
        <v>3389</v>
      </c>
      <c r="B33" s="903" t="s">
        <v>3348</v>
      </c>
      <c r="C33" s="903">
        <v>756</v>
      </c>
      <c r="D33" s="903" t="s">
        <v>3390</v>
      </c>
      <c r="E33" s="755" t="s">
        <v>3391</v>
      </c>
      <c r="H33" t="s">
        <v>3404</v>
      </c>
      <c r="L33" t="s">
        <v>3406</v>
      </c>
    </row>
    <row r="34" spans="1:12" ht="19.2" x14ac:dyDescent="0.25">
      <c r="A34" s="905"/>
      <c r="B34" s="905"/>
      <c r="C34" s="905"/>
      <c r="D34" s="905"/>
      <c r="E34" s="758" t="s">
        <v>3392</v>
      </c>
      <c r="H34" t="s">
        <v>3515</v>
      </c>
      <c r="L34" t="s">
        <v>3409</v>
      </c>
    </row>
    <row r="35" spans="1:12" ht="19.2" x14ac:dyDescent="0.25">
      <c r="A35" s="754" t="s">
        <v>3393</v>
      </c>
      <c r="B35" s="754" t="s">
        <v>3310</v>
      </c>
      <c r="C35" s="754">
        <v>152</v>
      </c>
      <c r="D35" s="754" t="s">
        <v>3394</v>
      </c>
      <c r="E35" s="755" t="s">
        <v>3395</v>
      </c>
      <c r="H35" t="s">
        <v>3407</v>
      </c>
      <c r="L35" t="s">
        <v>3412</v>
      </c>
    </row>
    <row r="36" spans="1:12" x14ac:dyDescent="0.25">
      <c r="A36" s="754" t="s">
        <v>3396</v>
      </c>
      <c r="B36" s="754" t="s">
        <v>3397</v>
      </c>
      <c r="C36" s="754">
        <v>156</v>
      </c>
      <c r="D36" s="754" t="s">
        <v>3398</v>
      </c>
      <c r="E36" s="755" t="s">
        <v>3172</v>
      </c>
      <c r="H36" t="s">
        <v>3414</v>
      </c>
      <c r="L36" t="s">
        <v>3416</v>
      </c>
    </row>
    <row r="37" spans="1:12" ht="19.2" x14ac:dyDescent="0.25">
      <c r="A37" s="754" t="s">
        <v>3399</v>
      </c>
      <c r="B37" s="754" t="s">
        <v>3310</v>
      </c>
      <c r="C37" s="754">
        <v>170</v>
      </c>
      <c r="D37" s="754" t="s">
        <v>3400</v>
      </c>
      <c r="E37" s="755" t="s">
        <v>3401</v>
      </c>
      <c r="H37" t="s">
        <v>3495</v>
      </c>
      <c r="L37" t="s">
        <v>3419</v>
      </c>
    </row>
    <row r="38" spans="1:12" ht="19.2" x14ac:dyDescent="0.25">
      <c r="A38" s="754" t="s">
        <v>3402</v>
      </c>
      <c r="B38" s="754" t="s">
        <v>3403</v>
      </c>
      <c r="C38" s="754">
        <v>188</v>
      </c>
      <c r="D38" s="754" t="s">
        <v>3404</v>
      </c>
      <c r="E38" s="755" t="s">
        <v>3405</v>
      </c>
      <c r="H38" t="s">
        <v>3421</v>
      </c>
      <c r="L38" t="s">
        <v>3423</v>
      </c>
    </row>
    <row r="39" spans="1:12" x14ac:dyDescent="0.25">
      <c r="A39" s="754" t="s">
        <v>3406</v>
      </c>
      <c r="B39" s="754" t="s">
        <v>3310</v>
      </c>
      <c r="C39" s="754">
        <v>192</v>
      </c>
      <c r="D39" s="754" t="s">
        <v>3407</v>
      </c>
      <c r="E39" s="755" t="s">
        <v>3408</v>
      </c>
      <c r="H39" t="s">
        <v>3621</v>
      </c>
      <c r="L39" t="s">
        <v>3426</v>
      </c>
    </row>
    <row r="40" spans="1:12" ht="19.2" x14ac:dyDescent="0.25">
      <c r="A40" s="754" t="s">
        <v>3409</v>
      </c>
      <c r="B40" s="754" t="s">
        <v>3310</v>
      </c>
      <c r="C40" s="754">
        <v>132</v>
      </c>
      <c r="D40" s="754" t="s">
        <v>3410</v>
      </c>
      <c r="E40" s="755" t="s">
        <v>3411</v>
      </c>
      <c r="H40" t="s">
        <v>3417</v>
      </c>
      <c r="L40" t="s">
        <v>342</v>
      </c>
    </row>
    <row r="41" spans="1:12" ht="19.2" x14ac:dyDescent="0.25">
      <c r="A41" s="754" t="s">
        <v>3412</v>
      </c>
      <c r="B41" s="754" t="s">
        <v>3413</v>
      </c>
      <c r="C41" s="754">
        <v>203</v>
      </c>
      <c r="D41" s="754" t="s">
        <v>3414</v>
      </c>
      <c r="E41" s="755" t="s">
        <v>3415</v>
      </c>
      <c r="H41" t="s">
        <v>3767</v>
      </c>
      <c r="L41" t="s">
        <v>3433</v>
      </c>
    </row>
    <row r="42" spans="1:12" ht="19.2" x14ac:dyDescent="0.25">
      <c r="A42" s="754" t="s">
        <v>3416</v>
      </c>
      <c r="B42" s="754" t="s">
        <v>3348</v>
      </c>
      <c r="C42" s="754">
        <v>262</v>
      </c>
      <c r="D42" s="754" t="s">
        <v>3417</v>
      </c>
      <c r="E42" s="755" t="s">
        <v>3418</v>
      </c>
      <c r="H42" t="s">
        <v>3424</v>
      </c>
      <c r="L42" t="s">
        <v>3437</v>
      </c>
    </row>
    <row r="43" spans="1:12" ht="19.2" x14ac:dyDescent="0.25">
      <c r="A43" s="754" t="s">
        <v>3419</v>
      </c>
      <c r="B43" s="754" t="s">
        <v>3420</v>
      </c>
      <c r="C43" s="754">
        <v>208</v>
      </c>
      <c r="D43" s="754" t="s">
        <v>3421</v>
      </c>
      <c r="E43" s="755" t="s">
        <v>3422</v>
      </c>
      <c r="H43" t="s">
        <v>3843</v>
      </c>
      <c r="L43" t="s">
        <v>3440</v>
      </c>
    </row>
    <row r="44" spans="1:12" ht="28.8" x14ac:dyDescent="0.25">
      <c r="A44" s="754" t="s">
        <v>3423</v>
      </c>
      <c r="B44" s="754" t="s">
        <v>3310</v>
      </c>
      <c r="C44" s="754">
        <v>214</v>
      </c>
      <c r="D44" s="754" t="s">
        <v>3424</v>
      </c>
      <c r="E44" s="755" t="s">
        <v>3425</v>
      </c>
      <c r="H44" t="s">
        <v>3870</v>
      </c>
      <c r="L44" t="s">
        <v>3469</v>
      </c>
    </row>
    <row r="45" spans="1:12" ht="19.2" x14ac:dyDescent="0.25">
      <c r="A45" s="754" t="s">
        <v>3426</v>
      </c>
      <c r="B45" s="754" t="s">
        <v>3427</v>
      </c>
      <c r="C45" s="754">
        <v>12</v>
      </c>
      <c r="D45" s="754" t="s">
        <v>3428</v>
      </c>
      <c r="E45" s="755" t="s">
        <v>3429</v>
      </c>
      <c r="H45" t="s">
        <v>3431</v>
      </c>
      <c r="L45" t="s">
        <v>3472</v>
      </c>
    </row>
    <row r="46" spans="1:12" ht="19.2" x14ac:dyDescent="0.25">
      <c r="A46" s="754" t="s">
        <v>342</v>
      </c>
      <c r="B46" s="754" t="s">
        <v>3430</v>
      </c>
      <c r="C46" s="754">
        <v>818</v>
      </c>
      <c r="D46" s="754" t="s">
        <v>3431</v>
      </c>
      <c r="E46" s="755" t="s">
        <v>3432</v>
      </c>
      <c r="H46" t="s">
        <v>3438</v>
      </c>
      <c r="L46" t="s">
        <v>3475</v>
      </c>
    </row>
    <row r="47" spans="1:12" x14ac:dyDescent="0.25">
      <c r="A47" s="754" t="s">
        <v>3433</v>
      </c>
      <c r="B47" s="754" t="s">
        <v>3434</v>
      </c>
      <c r="C47" s="754">
        <v>232</v>
      </c>
      <c r="D47" s="754" t="s">
        <v>3435</v>
      </c>
      <c r="E47" s="755" t="s">
        <v>3436</v>
      </c>
      <c r="H47" t="s">
        <v>3442</v>
      </c>
      <c r="L47" t="s">
        <v>3481</v>
      </c>
    </row>
    <row r="48" spans="1:12" ht="19.2" x14ac:dyDescent="0.25">
      <c r="A48" s="754" t="s">
        <v>3437</v>
      </c>
      <c r="B48" s="754"/>
      <c r="C48" s="754">
        <v>230</v>
      </c>
      <c r="D48" s="754" t="s">
        <v>3438</v>
      </c>
      <c r="E48" s="755" t="s">
        <v>3439</v>
      </c>
      <c r="H48" t="s">
        <v>3473</v>
      </c>
      <c r="L48" t="s">
        <v>3486</v>
      </c>
    </row>
    <row r="49" spans="1:12" ht="28.8" x14ac:dyDescent="0.25">
      <c r="A49" s="903" t="s">
        <v>3440</v>
      </c>
      <c r="B49" s="903" t="s">
        <v>3441</v>
      </c>
      <c r="C49" s="903">
        <v>978</v>
      </c>
      <c r="D49" s="903" t="s">
        <v>3442</v>
      </c>
      <c r="E49" s="755" t="s">
        <v>3443</v>
      </c>
      <c r="H49" t="s">
        <v>3470</v>
      </c>
      <c r="L49" t="s">
        <v>3490</v>
      </c>
    </row>
    <row r="50" spans="1:12" x14ac:dyDescent="0.25">
      <c r="A50" s="904"/>
      <c r="B50" s="904"/>
      <c r="C50" s="904"/>
      <c r="D50" s="904"/>
      <c r="E50" s="758" t="s">
        <v>3444</v>
      </c>
      <c r="H50" t="s">
        <v>3523</v>
      </c>
      <c r="L50" t="s">
        <v>3493</v>
      </c>
    </row>
    <row r="51" spans="1:12" x14ac:dyDescent="0.25">
      <c r="A51" s="904"/>
      <c r="B51" s="904"/>
      <c r="C51" s="904"/>
      <c r="D51" s="904"/>
      <c r="E51" s="758" t="s">
        <v>3445</v>
      </c>
      <c r="H51" t="s">
        <v>3491</v>
      </c>
      <c r="L51" t="s">
        <v>3497</v>
      </c>
    </row>
    <row r="52" spans="1:12" x14ac:dyDescent="0.25">
      <c r="A52" s="904"/>
      <c r="B52" s="904"/>
      <c r="C52" s="904"/>
      <c r="D52" s="904"/>
      <c r="E52" s="758" t="s">
        <v>3446</v>
      </c>
      <c r="H52" t="s">
        <v>3519</v>
      </c>
      <c r="L52" t="s">
        <v>3500</v>
      </c>
    </row>
    <row r="53" spans="1:12" x14ac:dyDescent="0.25">
      <c r="A53" s="904"/>
      <c r="B53" s="904"/>
      <c r="C53" s="904"/>
      <c r="D53" s="904"/>
      <c r="E53" s="758" t="s">
        <v>3447</v>
      </c>
      <c r="H53" t="s">
        <v>3712</v>
      </c>
      <c r="L53" t="s">
        <v>3504</v>
      </c>
    </row>
    <row r="54" spans="1:12" x14ac:dyDescent="0.25">
      <c r="A54" s="904"/>
      <c r="B54" s="904"/>
      <c r="C54" s="904"/>
      <c r="D54" s="904"/>
      <c r="E54" s="758" t="s">
        <v>3448</v>
      </c>
      <c r="H54" t="s">
        <v>3498</v>
      </c>
      <c r="L54" t="s">
        <v>3507</v>
      </c>
    </row>
    <row r="55" spans="1:12" x14ac:dyDescent="0.25">
      <c r="A55" s="904"/>
      <c r="B55" s="904"/>
      <c r="C55" s="904"/>
      <c r="D55" s="904"/>
      <c r="E55" s="758" t="s">
        <v>3449</v>
      </c>
      <c r="H55" t="s">
        <v>3505</v>
      </c>
      <c r="L55" t="s">
        <v>3510</v>
      </c>
    </row>
    <row r="56" spans="1:12" x14ac:dyDescent="0.25">
      <c r="A56" s="904"/>
      <c r="B56" s="904"/>
      <c r="C56" s="904"/>
      <c r="D56" s="904"/>
      <c r="E56" s="758" t="s">
        <v>3450</v>
      </c>
      <c r="H56" t="s">
        <v>3508</v>
      </c>
      <c r="L56" t="s">
        <v>3513</v>
      </c>
    </row>
    <row r="57" spans="1:12" x14ac:dyDescent="0.25">
      <c r="A57" s="904"/>
      <c r="B57" s="904"/>
      <c r="C57" s="904"/>
      <c r="D57" s="904"/>
      <c r="E57" s="758" t="s">
        <v>3451</v>
      </c>
      <c r="H57" t="s">
        <v>3812</v>
      </c>
      <c r="L57" t="s">
        <v>3517</v>
      </c>
    </row>
    <row r="58" spans="1:12" x14ac:dyDescent="0.25">
      <c r="A58" s="904"/>
      <c r="B58" s="904"/>
      <c r="C58" s="904"/>
      <c r="D58" s="904"/>
      <c r="E58" s="758" t="s">
        <v>3452</v>
      </c>
      <c r="H58" t="s">
        <v>3547</v>
      </c>
      <c r="L58" t="s">
        <v>3521</v>
      </c>
    </row>
    <row r="59" spans="1:12" x14ac:dyDescent="0.25">
      <c r="A59" s="904"/>
      <c r="B59" s="904"/>
      <c r="C59" s="904"/>
      <c r="D59" s="904"/>
      <c r="E59" s="758" t="s">
        <v>3453</v>
      </c>
      <c r="H59" t="s">
        <v>3536</v>
      </c>
      <c r="L59" t="s">
        <v>3525</v>
      </c>
    </row>
    <row r="60" spans="1:12" x14ac:dyDescent="0.25">
      <c r="A60" s="904"/>
      <c r="B60" s="904"/>
      <c r="C60" s="904"/>
      <c r="D60" s="904"/>
      <c r="E60" s="758" t="s">
        <v>3454</v>
      </c>
      <c r="H60" t="s">
        <v>3543</v>
      </c>
      <c r="L60" t="s">
        <v>3529</v>
      </c>
    </row>
    <row r="61" spans="1:12" x14ac:dyDescent="0.25">
      <c r="A61" s="904"/>
      <c r="B61" s="904"/>
      <c r="C61" s="904"/>
      <c r="D61" s="904"/>
      <c r="E61" s="758" t="s">
        <v>3455</v>
      </c>
      <c r="H61" t="s">
        <v>3539</v>
      </c>
      <c r="L61" t="s">
        <v>3534</v>
      </c>
    </row>
    <row r="62" spans="1:12" x14ac:dyDescent="0.25">
      <c r="A62" s="904"/>
      <c r="B62" s="904"/>
      <c r="C62" s="904"/>
      <c r="D62" s="904"/>
      <c r="E62" s="758" t="s">
        <v>3456</v>
      </c>
      <c r="H62" t="s">
        <v>3550</v>
      </c>
      <c r="L62" t="s">
        <v>3537</v>
      </c>
    </row>
    <row r="63" spans="1:12" x14ac:dyDescent="0.25">
      <c r="A63" s="904"/>
      <c r="B63" s="904"/>
      <c r="C63" s="904"/>
      <c r="D63" s="904"/>
      <c r="E63" s="758" t="s">
        <v>3457</v>
      </c>
      <c r="H63" t="s">
        <v>3554</v>
      </c>
      <c r="L63" t="s">
        <v>3541</v>
      </c>
    </row>
    <row r="64" spans="1:12" ht="19.2" x14ac:dyDescent="0.25">
      <c r="A64" s="904"/>
      <c r="B64" s="904"/>
      <c r="C64" s="904"/>
      <c r="D64" s="904"/>
      <c r="E64" s="758" t="s">
        <v>3458</v>
      </c>
      <c r="H64" t="s">
        <v>3560</v>
      </c>
      <c r="L64" t="s">
        <v>3545</v>
      </c>
    </row>
    <row r="65" spans="1:12" x14ac:dyDescent="0.25">
      <c r="A65" s="904"/>
      <c r="B65" s="904"/>
      <c r="C65" s="904"/>
      <c r="D65" s="904"/>
      <c r="E65" s="758" t="s">
        <v>3459</v>
      </c>
      <c r="H65" t="s">
        <v>3697</v>
      </c>
      <c r="L65" t="s">
        <v>3549</v>
      </c>
    </row>
    <row r="66" spans="1:12" x14ac:dyDescent="0.25">
      <c r="A66" s="904"/>
      <c r="B66" s="904"/>
      <c r="C66" s="904"/>
      <c r="D66" s="904"/>
      <c r="E66" s="758" t="s">
        <v>3460</v>
      </c>
      <c r="H66" t="s">
        <v>3589</v>
      </c>
      <c r="L66" t="s">
        <v>3552</v>
      </c>
    </row>
    <row r="67" spans="1:12" ht="19.2" x14ac:dyDescent="0.25">
      <c r="A67" s="904"/>
      <c r="B67" s="904"/>
      <c r="C67" s="904"/>
      <c r="D67" s="904"/>
      <c r="E67" s="758" t="s">
        <v>3461</v>
      </c>
      <c r="H67" t="s">
        <v>3330</v>
      </c>
      <c r="L67" t="s">
        <v>3556</v>
      </c>
    </row>
    <row r="68" spans="1:12" ht="19.2" x14ac:dyDescent="0.25">
      <c r="A68" s="904"/>
      <c r="B68" s="904"/>
      <c r="C68" s="904"/>
      <c r="D68" s="904"/>
      <c r="E68" s="758" t="s">
        <v>3462</v>
      </c>
      <c r="H68" t="s">
        <v>3578</v>
      </c>
      <c r="L68" t="s">
        <v>3558</v>
      </c>
    </row>
    <row r="69" spans="1:12" x14ac:dyDescent="0.25">
      <c r="A69" s="904"/>
      <c r="B69" s="904"/>
      <c r="C69" s="904"/>
      <c r="D69" s="904"/>
      <c r="E69" s="758" t="s">
        <v>3463</v>
      </c>
      <c r="H69" t="s">
        <v>3648</v>
      </c>
      <c r="L69" t="s">
        <v>3562</v>
      </c>
    </row>
    <row r="70" spans="1:12" ht="19.2" x14ac:dyDescent="0.25">
      <c r="A70" s="904"/>
      <c r="B70" s="904"/>
      <c r="C70" s="904"/>
      <c r="D70" s="904"/>
      <c r="E70" s="758" t="s">
        <v>3464</v>
      </c>
      <c r="H70" t="s">
        <v>3307</v>
      </c>
      <c r="L70" t="s">
        <v>3565</v>
      </c>
    </row>
    <row r="71" spans="1:12" x14ac:dyDescent="0.25">
      <c r="A71" s="904"/>
      <c r="B71" s="904"/>
      <c r="C71" s="904"/>
      <c r="D71" s="904"/>
      <c r="E71" s="758" t="s">
        <v>3465</v>
      </c>
      <c r="H71" t="s">
        <v>3625</v>
      </c>
      <c r="L71" t="s">
        <v>3569</v>
      </c>
    </row>
    <row r="72" spans="1:12" x14ac:dyDescent="0.25">
      <c r="A72" s="904"/>
      <c r="B72" s="904"/>
      <c r="C72" s="904"/>
      <c r="D72" s="904"/>
      <c r="E72" s="758" t="s">
        <v>3466</v>
      </c>
      <c r="H72" t="s">
        <v>3483</v>
      </c>
      <c r="L72" t="s">
        <v>3573</v>
      </c>
    </row>
    <row r="73" spans="1:12" x14ac:dyDescent="0.25">
      <c r="A73" s="904"/>
      <c r="B73" s="904"/>
      <c r="C73" s="904"/>
      <c r="D73" s="904"/>
      <c r="E73" s="758" t="s">
        <v>3467</v>
      </c>
      <c r="H73" t="s">
        <v>3593</v>
      </c>
      <c r="L73" t="s">
        <v>3576</v>
      </c>
    </row>
    <row r="74" spans="1:12" x14ac:dyDescent="0.25">
      <c r="A74" s="905"/>
      <c r="B74" s="905"/>
      <c r="C74" s="905"/>
      <c r="D74" s="905"/>
      <c r="E74" s="758" t="s">
        <v>3468</v>
      </c>
      <c r="H74" t="s">
        <v>3299</v>
      </c>
      <c r="L74" t="s">
        <v>3580</v>
      </c>
    </row>
    <row r="75" spans="1:12" x14ac:dyDescent="0.25">
      <c r="A75" s="754" t="s">
        <v>3469</v>
      </c>
      <c r="B75" s="754" t="s">
        <v>3310</v>
      </c>
      <c r="C75" s="754">
        <v>242</v>
      </c>
      <c r="D75" s="754" t="s">
        <v>3470</v>
      </c>
      <c r="E75" s="755" t="s">
        <v>3471</v>
      </c>
      <c r="H75" t="s">
        <v>3511</v>
      </c>
      <c r="L75" t="s">
        <v>3583</v>
      </c>
    </row>
    <row r="76" spans="1:12" ht="28.8" x14ac:dyDescent="0.25">
      <c r="A76" s="754" t="s">
        <v>3472</v>
      </c>
      <c r="B76" s="754" t="s">
        <v>3430</v>
      </c>
      <c r="C76" s="754">
        <v>238</v>
      </c>
      <c r="D76" s="754" t="s">
        <v>3473</v>
      </c>
      <c r="E76" s="755" t="s">
        <v>3474</v>
      </c>
      <c r="H76" t="s">
        <v>3757</v>
      </c>
      <c r="L76" t="s">
        <v>3587</v>
      </c>
    </row>
    <row r="77" spans="1:12" ht="12.45" customHeight="1" x14ac:dyDescent="0.25">
      <c r="A77" s="903" t="s">
        <v>3475</v>
      </c>
      <c r="B77" s="903" t="s">
        <v>3430</v>
      </c>
      <c r="C77" s="903">
        <v>826</v>
      </c>
      <c r="D77" s="903" t="s">
        <v>3476</v>
      </c>
      <c r="E77" s="755" t="s">
        <v>3477</v>
      </c>
      <c r="H77" t="s">
        <v>3719</v>
      </c>
      <c r="L77" t="s">
        <v>3591</v>
      </c>
    </row>
    <row r="78" spans="1:12" ht="38.4" x14ac:dyDescent="0.25">
      <c r="A78" s="904"/>
      <c r="B78" s="904"/>
      <c r="C78" s="904"/>
      <c r="D78" s="904"/>
      <c r="E78" s="758" t="s">
        <v>3478</v>
      </c>
      <c r="H78" t="s">
        <v>3600</v>
      </c>
      <c r="L78" t="s">
        <v>3595</v>
      </c>
    </row>
    <row r="79" spans="1:12" ht="19.2" x14ac:dyDescent="0.25">
      <c r="A79" s="904"/>
      <c r="B79" s="904"/>
      <c r="C79" s="904"/>
      <c r="D79" s="904"/>
      <c r="E79" s="758" t="s">
        <v>3479</v>
      </c>
      <c r="H79" t="s">
        <v>3607</v>
      </c>
      <c r="L79" t="s">
        <v>3599</v>
      </c>
    </row>
    <row r="80" spans="1:12" ht="19.2" x14ac:dyDescent="0.25">
      <c r="A80" s="905"/>
      <c r="B80" s="905"/>
      <c r="C80" s="905"/>
      <c r="D80" s="905"/>
      <c r="E80" s="758" t="s">
        <v>3480</v>
      </c>
      <c r="H80" t="s">
        <v>3774</v>
      </c>
      <c r="L80" t="s">
        <v>3602</v>
      </c>
    </row>
    <row r="81" spans="1:12" x14ac:dyDescent="0.25">
      <c r="A81" s="903" t="s">
        <v>3481</v>
      </c>
      <c r="B81" s="903" t="s">
        <v>3482</v>
      </c>
      <c r="C81" s="903">
        <v>981</v>
      </c>
      <c r="D81" s="903" t="s">
        <v>3483</v>
      </c>
      <c r="E81" s="755" t="s">
        <v>3484</v>
      </c>
      <c r="H81" t="s">
        <v>3603</v>
      </c>
      <c r="L81" t="s">
        <v>3605</v>
      </c>
    </row>
    <row r="82" spans="1:12" ht="19.2" x14ac:dyDescent="0.25">
      <c r="A82" s="905"/>
      <c r="B82" s="905"/>
      <c r="C82" s="905"/>
      <c r="D82" s="905"/>
      <c r="E82" s="758" t="s">
        <v>3485</v>
      </c>
      <c r="H82" t="s">
        <v>3617</v>
      </c>
      <c r="L82" t="s">
        <v>3609</v>
      </c>
    </row>
    <row r="83" spans="1:12" x14ac:dyDescent="0.25">
      <c r="A83" s="754" t="s">
        <v>3486</v>
      </c>
      <c r="B83" s="754" t="s">
        <v>3487</v>
      </c>
      <c r="C83" s="754">
        <v>936</v>
      </c>
      <c r="D83" s="754" t="s">
        <v>3488</v>
      </c>
      <c r="E83" s="755" t="s">
        <v>3489</v>
      </c>
      <c r="H83" t="s">
        <v>3655</v>
      </c>
      <c r="L83" t="s">
        <v>3613</v>
      </c>
    </row>
    <row r="84" spans="1:12" ht="19.2" x14ac:dyDescent="0.25">
      <c r="A84" s="754" t="s">
        <v>3490</v>
      </c>
      <c r="B84" s="754" t="s">
        <v>3430</v>
      </c>
      <c r="C84" s="754">
        <v>292</v>
      </c>
      <c r="D84" s="754" t="s">
        <v>3491</v>
      </c>
      <c r="E84" s="755" t="s">
        <v>3492</v>
      </c>
      <c r="H84" t="s">
        <v>3786</v>
      </c>
      <c r="L84" t="s">
        <v>3616</v>
      </c>
    </row>
    <row r="85" spans="1:12" x14ac:dyDescent="0.25">
      <c r="A85" s="754" t="s">
        <v>3493</v>
      </c>
      <c r="B85" s="754" t="s">
        <v>3494</v>
      </c>
      <c r="C85" s="754">
        <v>270</v>
      </c>
      <c r="D85" s="754" t="s">
        <v>3495</v>
      </c>
      <c r="E85" s="755" t="s">
        <v>3496</v>
      </c>
      <c r="H85" t="s">
        <v>3640</v>
      </c>
      <c r="L85" t="s">
        <v>3619</v>
      </c>
    </row>
    <row r="86" spans="1:12" ht="19.2" x14ac:dyDescent="0.25">
      <c r="A86" s="754" t="s">
        <v>3497</v>
      </c>
      <c r="B86" s="754" t="s">
        <v>3348</v>
      </c>
      <c r="C86" s="754">
        <v>324</v>
      </c>
      <c r="D86" s="754" t="s">
        <v>3498</v>
      </c>
      <c r="E86" s="755" t="s">
        <v>3499</v>
      </c>
      <c r="H86" t="s">
        <v>3659</v>
      </c>
      <c r="L86" t="s">
        <v>3623</v>
      </c>
    </row>
    <row r="87" spans="1:12" ht="19.2" x14ac:dyDescent="0.25">
      <c r="A87" s="754" t="s">
        <v>3500</v>
      </c>
      <c r="B87" s="754" t="s">
        <v>3501</v>
      </c>
      <c r="C87" s="754">
        <v>320</v>
      </c>
      <c r="D87" s="754" t="s">
        <v>3502</v>
      </c>
      <c r="E87" s="755" t="s">
        <v>3503</v>
      </c>
      <c r="H87" t="s">
        <v>3651</v>
      </c>
      <c r="L87" t="s">
        <v>3627</v>
      </c>
    </row>
    <row r="88" spans="1:12" ht="19.2" x14ac:dyDescent="0.25">
      <c r="A88" s="754" t="s">
        <v>3504</v>
      </c>
      <c r="B88" s="754" t="s">
        <v>3310</v>
      </c>
      <c r="C88" s="754">
        <v>328</v>
      </c>
      <c r="D88" s="754" t="s">
        <v>3505</v>
      </c>
      <c r="E88" s="755" t="s">
        <v>3506</v>
      </c>
      <c r="H88" t="s">
        <v>3614</v>
      </c>
      <c r="L88" t="s">
        <v>3631</v>
      </c>
    </row>
    <row r="89" spans="1:12" ht="19.2" x14ac:dyDescent="0.25">
      <c r="A89" s="754" t="s">
        <v>3507</v>
      </c>
      <c r="B89" s="754" t="s">
        <v>3310</v>
      </c>
      <c r="C89" s="754">
        <v>344</v>
      </c>
      <c r="D89" s="754" t="s">
        <v>3508</v>
      </c>
      <c r="E89" s="755" t="s">
        <v>3509</v>
      </c>
      <c r="H89" t="s">
        <v>3611</v>
      </c>
      <c r="L89" t="s">
        <v>3634</v>
      </c>
    </row>
    <row r="90" spans="1:12" x14ac:dyDescent="0.25">
      <c r="A90" s="754" t="s">
        <v>3510</v>
      </c>
      <c r="B90" s="754" t="s">
        <v>3298</v>
      </c>
      <c r="C90" s="754">
        <v>340</v>
      </c>
      <c r="D90" s="754" t="s">
        <v>3511</v>
      </c>
      <c r="E90" s="755" t="s">
        <v>3512</v>
      </c>
      <c r="H90" t="s">
        <v>3666</v>
      </c>
      <c r="L90" t="s">
        <v>3638</v>
      </c>
    </row>
    <row r="91" spans="1:12" ht="19.2" x14ac:dyDescent="0.25">
      <c r="A91" s="754" t="s">
        <v>3513</v>
      </c>
      <c r="B91" s="754" t="s">
        <v>3514</v>
      </c>
      <c r="C91" s="754">
        <v>191</v>
      </c>
      <c r="D91" s="754" t="s">
        <v>3515</v>
      </c>
      <c r="E91" s="755" t="s">
        <v>3516</v>
      </c>
      <c r="H91" t="s">
        <v>3435</v>
      </c>
      <c r="L91" t="s">
        <v>3642</v>
      </c>
    </row>
    <row r="92" spans="1:12" x14ac:dyDescent="0.25">
      <c r="A92" s="754" t="s">
        <v>3517</v>
      </c>
      <c r="B92" s="754" t="s">
        <v>3518</v>
      </c>
      <c r="C92" s="754">
        <v>332</v>
      </c>
      <c r="D92" s="754" t="s">
        <v>3519</v>
      </c>
      <c r="E92" s="755" t="s">
        <v>3520</v>
      </c>
      <c r="H92" t="s">
        <v>3662</v>
      </c>
      <c r="L92" t="s">
        <v>3646</v>
      </c>
    </row>
    <row r="93" spans="1:12" x14ac:dyDescent="0.25">
      <c r="A93" s="754" t="s">
        <v>3521</v>
      </c>
      <c r="B93" s="754" t="s">
        <v>3522</v>
      </c>
      <c r="C93" s="754">
        <v>348</v>
      </c>
      <c r="D93" s="754" t="s">
        <v>3523</v>
      </c>
      <c r="E93" s="755" t="s">
        <v>3524</v>
      </c>
      <c r="H93" t="s">
        <v>3676</v>
      </c>
      <c r="L93" t="s">
        <v>3650</v>
      </c>
    </row>
    <row r="94" spans="1:12" ht="12.45" customHeight="1" x14ac:dyDescent="0.25">
      <c r="A94" s="754" t="s">
        <v>3525</v>
      </c>
      <c r="B94" s="754" t="s">
        <v>3526</v>
      </c>
      <c r="C94" s="754">
        <v>360</v>
      </c>
      <c r="D94" s="754" t="s">
        <v>3527</v>
      </c>
      <c r="E94" s="755" t="s">
        <v>3528</v>
      </c>
      <c r="H94" t="s">
        <v>3531</v>
      </c>
      <c r="L94" t="s">
        <v>3653</v>
      </c>
    </row>
    <row r="95" spans="1:12" ht="12.45" customHeight="1" x14ac:dyDescent="0.25">
      <c r="A95" s="903" t="s">
        <v>3529</v>
      </c>
      <c r="B95" s="903" t="s">
        <v>3530</v>
      </c>
      <c r="C95" s="903">
        <v>376</v>
      </c>
      <c r="D95" s="903" t="s">
        <v>3531</v>
      </c>
      <c r="E95" s="755" t="s">
        <v>3532</v>
      </c>
      <c r="H95" t="s">
        <v>3679</v>
      </c>
      <c r="L95" t="s">
        <v>3657</v>
      </c>
    </row>
    <row r="96" spans="1:12" x14ac:dyDescent="0.25">
      <c r="A96" s="905"/>
      <c r="B96" s="905"/>
      <c r="C96" s="905"/>
      <c r="D96" s="905"/>
      <c r="E96" s="758" t="s">
        <v>3533</v>
      </c>
      <c r="H96" t="s">
        <v>3370</v>
      </c>
      <c r="L96" t="s">
        <v>3661</v>
      </c>
    </row>
    <row r="97" spans="1:12" x14ac:dyDescent="0.25">
      <c r="A97" s="903" t="s">
        <v>3534</v>
      </c>
      <c r="B97" s="903" t="s">
        <v>3535</v>
      </c>
      <c r="C97" s="903">
        <v>356</v>
      </c>
      <c r="D97" s="903" t="s">
        <v>3536</v>
      </c>
      <c r="E97" s="755" t="s">
        <v>3371</v>
      </c>
      <c r="H97" t="s">
        <v>3571</v>
      </c>
      <c r="L97" t="s">
        <v>3664</v>
      </c>
    </row>
    <row r="98" spans="1:12" x14ac:dyDescent="0.25">
      <c r="A98" s="905"/>
      <c r="B98" s="905"/>
      <c r="C98" s="905"/>
      <c r="D98" s="905"/>
      <c r="E98" s="758" t="s">
        <v>3173</v>
      </c>
      <c r="H98" t="s">
        <v>3673</v>
      </c>
      <c r="L98" t="s">
        <v>3668</v>
      </c>
    </row>
    <row r="99" spans="1:12" x14ac:dyDescent="0.25">
      <c r="A99" s="754" t="s">
        <v>3537</v>
      </c>
      <c r="B99" s="754" t="s">
        <v>3538</v>
      </c>
      <c r="C99" s="754">
        <v>368</v>
      </c>
      <c r="D99" s="754" t="s">
        <v>3539</v>
      </c>
      <c r="E99" s="755" t="s">
        <v>3540</v>
      </c>
      <c r="H99" t="s">
        <v>3694</v>
      </c>
      <c r="L99" t="s">
        <v>3672</v>
      </c>
    </row>
    <row r="100" spans="1:12" x14ac:dyDescent="0.25">
      <c r="A100" s="754" t="s">
        <v>3541</v>
      </c>
      <c r="B100" s="754" t="s">
        <v>3542</v>
      </c>
      <c r="C100" s="754">
        <v>364</v>
      </c>
      <c r="D100" s="754" t="s">
        <v>3543</v>
      </c>
      <c r="E100" s="755" t="s">
        <v>3544</v>
      </c>
      <c r="H100" t="s">
        <v>3636</v>
      </c>
      <c r="L100" t="s">
        <v>3675</v>
      </c>
    </row>
    <row r="101" spans="1:12" ht="19.2" x14ac:dyDescent="0.25">
      <c r="A101" s="754" t="s">
        <v>3545</v>
      </c>
      <c r="B101" s="754" t="s">
        <v>3546</v>
      </c>
      <c r="C101" s="754">
        <v>352</v>
      </c>
      <c r="D101" s="754" t="s">
        <v>3547</v>
      </c>
      <c r="E101" s="755" t="s">
        <v>3548</v>
      </c>
      <c r="H101" t="s">
        <v>3794</v>
      </c>
      <c r="L101" t="s">
        <v>3678</v>
      </c>
    </row>
    <row r="102" spans="1:12" ht="19.2" x14ac:dyDescent="0.25">
      <c r="A102" s="754" t="s">
        <v>3549</v>
      </c>
      <c r="B102" s="754" t="s">
        <v>3310</v>
      </c>
      <c r="C102" s="754">
        <v>388</v>
      </c>
      <c r="D102" s="754" t="s">
        <v>3550</v>
      </c>
      <c r="E102" s="755" t="s">
        <v>3551</v>
      </c>
      <c r="H102" t="s">
        <v>3704</v>
      </c>
      <c r="L102" t="s">
        <v>3684</v>
      </c>
    </row>
    <row r="103" spans="1:12" ht="19.2" x14ac:dyDescent="0.25">
      <c r="A103" s="754" t="s">
        <v>3552</v>
      </c>
      <c r="B103" s="754" t="s">
        <v>3553</v>
      </c>
      <c r="C103" s="754">
        <v>400</v>
      </c>
      <c r="D103" s="754" t="s">
        <v>3554</v>
      </c>
      <c r="E103" s="755" t="s">
        <v>3555</v>
      </c>
      <c r="H103" t="s">
        <v>3632</v>
      </c>
      <c r="L103" t="s">
        <v>3688</v>
      </c>
    </row>
    <row r="104" spans="1:12" x14ac:dyDescent="0.25">
      <c r="A104" s="754" t="s">
        <v>3556</v>
      </c>
      <c r="B104" s="754" t="s">
        <v>3397</v>
      </c>
      <c r="C104" s="754">
        <v>392</v>
      </c>
      <c r="D104" s="754" t="s">
        <v>3557</v>
      </c>
      <c r="E104" s="755" t="s">
        <v>3171</v>
      </c>
      <c r="H104" t="s">
        <v>3832</v>
      </c>
      <c r="L104" t="s">
        <v>3692</v>
      </c>
    </row>
    <row r="105" spans="1:12" ht="19.2" x14ac:dyDescent="0.25">
      <c r="A105" s="754" t="s">
        <v>3558</v>
      </c>
      <c r="B105" s="754" t="s">
        <v>3559</v>
      </c>
      <c r="C105" s="754">
        <v>404</v>
      </c>
      <c r="D105" s="754" t="s">
        <v>3560</v>
      </c>
      <c r="E105" s="755" t="s">
        <v>3561</v>
      </c>
      <c r="H105" t="s">
        <v>3701</v>
      </c>
      <c r="L105" t="s">
        <v>3696</v>
      </c>
    </row>
    <row r="106" spans="1:12" x14ac:dyDescent="0.25">
      <c r="A106" s="754" t="s">
        <v>3562</v>
      </c>
      <c r="B106" s="754"/>
      <c r="C106" s="754">
        <v>417</v>
      </c>
      <c r="D106" s="754" t="s">
        <v>3563</v>
      </c>
      <c r="E106" s="755" t="s">
        <v>3564</v>
      </c>
      <c r="H106" t="s">
        <v>3476</v>
      </c>
      <c r="L106" t="s">
        <v>3699</v>
      </c>
    </row>
    <row r="107" spans="1:12" x14ac:dyDescent="0.25">
      <c r="A107" s="754" t="s">
        <v>3565</v>
      </c>
      <c r="B107" s="754" t="s">
        <v>3566</v>
      </c>
      <c r="C107" s="754">
        <v>116</v>
      </c>
      <c r="D107" s="754" t="s">
        <v>3567</v>
      </c>
      <c r="E107" s="755" t="s">
        <v>3568</v>
      </c>
      <c r="H107" t="s">
        <v>3374</v>
      </c>
      <c r="L107" t="s">
        <v>3703</v>
      </c>
    </row>
    <row r="108" spans="1:12" ht="19.2" x14ac:dyDescent="0.25">
      <c r="A108" s="754" t="s">
        <v>3569</v>
      </c>
      <c r="B108" s="754" t="s">
        <v>3570</v>
      </c>
      <c r="C108" s="754">
        <v>408</v>
      </c>
      <c r="D108" s="754" t="s">
        <v>3571</v>
      </c>
      <c r="E108" s="755" t="s">
        <v>3572</v>
      </c>
      <c r="H108" t="s">
        <v>3708</v>
      </c>
      <c r="L108" t="s">
        <v>3706</v>
      </c>
    </row>
    <row r="109" spans="1:12" ht="19.2" x14ac:dyDescent="0.25">
      <c r="A109" s="754" t="s">
        <v>3573</v>
      </c>
      <c r="B109" s="754" t="s">
        <v>3570</v>
      </c>
      <c r="C109" s="754">
        <v>410</v>
      </c>
      <c r="D109" s="754" t="s">
        <v>3574</v>
      </c>
      <c r="E109" s="755" t="s">
        <v>3575</v>
      </c>
      <c r="H109" t="s">
        <v>3716</v>
      </c>
      <c r="L109" t="s">
        <v>3710</v>
      </c>
    </row>
    <row r="110" spans="1:12" x14ac:dyDescent="0.25">
      <c r="A110" s="754" t="s">
        <v>3576</v>
      </c>
      <c r="B110" s="754" t="s">
        <v>3577</v>
      </c>
      <c r="C110" s="754">
        <v>414</v>
      </c>
      <c r="D110" s="754" t="s">
        <v>3578</v>
      </c>
      <c r="E110" s="755" t="s">
        <v>3579</v>
      </c>
      <c r="H110" t="s">
        <v>3502</v>
      </c>
      <c r="L110" t="s">
        <v>3714</v>
      </c>
    </row>
    <row r="111" spans="1:12" ht="28.8" x14ac:dyDescent="0.25">
      <c r="A111" s="754" t="s">
        <v>3580</v>
      </c>
      <c r="B111" s="754" t="s">
        <v>3310</v>
      </c>
      <c r="C111" s="754">
        <v>136</v>
      </c>
      <c r="D111" s="754" t="s">
        <v>3581</v>
      </c>
      <c r="E111" s="755" t="s">
        <v>3582</v>
      </c>
      <c r="H111" t="s">
        <v>3889</v>
      </c>
      <c r="L111" t="s">
        <v>3718</v>
      </c>
    </row>
    <row r="112" spans="1:12" ht="19.2" x14ac:dyDescent="0.25">
      <c r="A112" s="754" t="s">
        <v>3583</v>
      </c>
      <c r="B112" s="754" t="s">
        <v>3584</v>
      </c>
      <c r="C112" s="754">
        <v>398</v>
      </c>
      <c r="D112" s="754" t="s">
        <v>3585</v>
      </c>
      <c r="E112" s="755" t="s">
        <v>3586</v>
      </c>
      <c r="H112" t="s">
        <v>3686</v>
      </c>
      <c r="L112" t="s">
        <v>3721</v>
      </c>
    </row>
    <row r="113" spans="1:12" x14ac:dyDescent="0.25">
      <c r="A113" s="754" t="s">
        <v>3587</v>
      </c>
      <c r="B113" s="754" t="s">
        <v>3588</v>
      </c>
      <c r="C113" s="754">
        <v>418</v>
      </c>
      <c r="D113" s="754" t="s">
        <v>3589</v>
      </c>
      <c r="E113" s="755" t="s">
        <v>3590</v>
      </c>
      <c r="H113" t="s">
        <v>3567</v>
      </c>
      <c r="L113" t="s">
        <v>3725</v>
      </c>
    </row>
    <row r="114" spans="1:12" ht="19.2" x14ac:dyDescent="0.25">
      <c r="A114" s="754" t="s">
        <v>3591</v>
      </c>
      <c r="B114" s="754" t="s">
        <v>3592</v>
      </c>
      <c r="C114" s="754">
        <v>422</v>
      </c>
      <c r="D114" s="754" t="s">
        <v>3593</v>
      </c>
      <c r="E114" s="755" t="s">
        <v>3594</v>
      </c>
      <c r="H114" t="s">
        <v>3644</v>
      </c>
      <c r="L114" t="s">
        <v>3729</v>
      </c>
    </row>
    <row r="115" spans="1:12" ht="19.2" x14ac:dyDescent="0.25">
      <c r="A115" s="754" t="s">
        <v>3595</v>
      </c>
      <c r="B115" s="754" t="s">
        <v>3596</v>
      </c>
      <c r="C115" s="754">
        <v>144</v>
      </c>
      <c r="D115" s="754" t="s">
        <v>3597</v>
      </c>
      <c r="E115" s="755" t="s">
        <v>3598</v>
      </c>
      <c r="H115" t="s">
        <v>3527</v>
      </c>
      <c r="L115" t="s">
        <v>3732</v>
      </c>
    </row>
    <row r="116" spans="1:12" ht="19.2" x14ac:dyDescent="0.25">
      <c r="A116" s="754" t="s">
        <v>3599</v>
      </c>
      <c r="B116" s="754" t="s">
        <v>3310</v>
      </c>
      <c r="C116" s="754">
        <v>430</v>
      </c>
      <c r="D116" s="754" t="s">
        <v>3600</v>
      </c>
      <c r="E116" s="755" t="s">
        <v>3601</v>
      </c>
      <c r="H116" t="s">
        <v>3727</v>
      </c>
      <c r="L116" t="s">
        <v>3736</v>
      </c>
    </row>
    <row r="117" spans="1:12" x14ac:dyDescent="0.25">
      <c r="A117" s="754" t="s">
        <v>3602</v>
      </c>
      <c r="B117" s="754" t="s">
        <v>3298</v>
      </c>
      <c r="C117" s="754">
        <v>426</v>
      </c>
      <c r="D117" s="754" t="s">
        <v>3603</v>
      </c>
      <c r="E117" s="755" t="s">
        <v>3604</v>
      </c>
      <c r="H117" t="s">
        <v>3730</v>
      </c>
      <c r="L117" t="s">
        <v>3739</v>
      </c>
    </row>
    <row r="118" spans="1:12" x14ac:dyDescent="0.25">
      <c r="A118" s="754" t="s">
        <v>3605</v>
      </c>
      <c r="B118" s="754" t="s">
        <v>3606</v>
      </c>
      <c r="C118" s="754">
        <v>434</v>
      </c>
      <c r="D118" s="754" t="s">
        <v>3607</v>
      </c>
      <c r="E118" s="755" t="s">
        <v>3608</v>
      </c>
      <c r="H118" t="s">
        <v>3751</v>
      </c>
      <c r="L118" t="s">
        <v>3742</v>
      </c>
    </row>
    <row r="119" spans="1:12" ht="19.2" x14ac:dyDescent="0.25">
      <c r="A119" s="754" t="s">
        <v>3609</v>
      </c>
      <c r="B119" s="754" t="s">
        <v>3610</v>
      </c>
      <c r="C119" s="754">
        <v>504</v>
      </c>
      <c r="D119" s="754" t="s">
        <v>3611</v>
      </c>
      <c r="E119" s="755" t="s">
        <v>3612</v>
      </c>
      <c r="H119" t="s">
        <v>3734</v>
      </c>
      <c r="L119" t="s">
        <v>3745</v>
      </c>
    </row>
    <row r="120" spans="1:12" ht="19.2" x14ac:dyDescent="0.25">
      <c r="A120" s="754" t="s">
        <v>3613</v>
      </c>
      <c r="B120" s="754" t="s">
        <v>3298</v>
      </c>
      <c r="C120" s="754">
        <v>498</v>
      </c>
      <c r="D120" s="754" t="s">
        <v>3614</v>
      </c>
      <c r="E120" s="755" t="s">
        <v>3615</v>
      </c>
      <c r="H120" t="s">
        <v>3723</v>
      </c>
      <c r="L120" t="s">
        <v>3748</v>
      </c>
    </row>
    <row r="121" spans="1:12" ht="19.2" x14ac:dyDescent="0.25">
      <c r="A121" s="754" t="s">
        <v>3616</v>
      </c>
      <c r="B121" s="754"/>
      <c r="C121" s="754">
        <v>969</v>
      </c>
      <c r="D121" s="754" t="s">
        <v>3617</v>
      </c>
      <c r="E121" s="755" t="s">
        <v>3618</v>
      </c>
      <c r="H121" t="s">
        <v>3740</v>
      </c>
      <c r="L121" t="s">
        <v>3750</v>
      </c>
    </row>
    <row r="122" spans="1:12" ht="19.2" x14ac:dyDescent="0.25">
      <c r="A122" s="754" t="s">
        <v>3619</v>
      </c>
      <c r="B122" s="754" t="s">
        <v>3620</v>
      </c>
      <c r="C122" s="754">
        <v>807</v>
      </c>
      <c r="D122" s="754" t="s">
        <v>3621</v>
      </c>
      <c r="E122" s="755" t="s">
        <v>3622</v>
      </c>
      <c r="H122" t="s">
        <v>3749</v>
      </c>
      <c r="L122" t="s">
        <v>3755</v>
      </c>
    </row>
    <row r="123" spans="1:12" ht="19.2" x14ac:dyDescent="0.25">
      <c r="A123" s="754" t="s">
        <v>3623</v>
      </c>
      <c r="B123" s="754" t="s">
        <v>3624</v>
      </c>
      <c r="C123" s="754">
        <v>104</v>
      </c>
      <c r="D123" s="754" t="s">
        <v>3625</v>
      </c>
      <c r="E123" s="755" t="s">
        <v>3626</v>
      </c>
      <c r="H123" t="s">
        <v>3737</v>
      </c>
      <c r="L123" t="s">
        <v>3759</v>
      </c>
    </row>
    <row r="124" spans="1:12" x14ac:dyDescent="0.25">
      <c r="A124" s="754" t="s">
        <v>3627</v>
      </c>
      <c r="B124" s="754" t="s">
        <v>3628</v>
      </c>
      <c r="C124" s="754">
        <v>496</v>
      </c>
      <c r="D124" s="754" t="s">
        <v>3629</v>
      </c>
      <c r="E124" s="755" t="s">
        <v>3630</v>
      </c>
      <c r="H124" t="s">
        <v>3563</v>
      </c>
      <c r="L124" t="s">
        <v>3762</v>
      </c>
    </row>
    <row r="125" spans="1:12" x14ac:dyDescent="0.25">
      <c r="A125" s="754" t="s">
        <v>3631</v>
      </c>
      <c r="B125" s="754" t="s">
        <v>3373</v>
      </c>
      <c r="C125" s="754">
        <v>446</v>
      </c>
      <c r="D125" s="754" t="s">
        <v>3632</v>
      </c>
      <c r="E125" s="755" t="s">
        <v>3633</v>
      </c>
      <c r="H125" t="s">
        <v>3760</v>
      </c>
      <c r="L125" t="s">
        <v>3765</v>
      </c>
    </row>
    <row r="126" spans="1:12" x14ac:dyDescent="0.25">
      <c r="A126" s="754" t="s">
        <v>3634</v>
      </c>
      <c r="B126" s="754" t="s">
        <v>3635</v>
      </c>
      <c r="C126" s="754">
        <v>929</v>
      </c>
      <c r="D126" s="754" t="s">
        <v>3636</v>
      </c>
      <c r="E126" s="755" t="s">
        <v>3637</v>
      </c>
      <c r="H126" t="s">
        <v>3782</v>
      </c>
      <c r="L126" t="s">
        <v>3769</v>
      </c>
    </row>
    <row r="127" spans="1:12" ht="19.2" x14ac:dyDescent="0.25">
      <c r="A127" s="754" t="s">
        <v>3638</v>
      </c>
      <c r="B127" s="754" t="s">
        <v>3639</v>
      </c>
      <c r="C127" s="754">
        <v>480</v>
      </c>
      <c r="D127" s="754" t="s">
        <v>3640</v>
      </c>
      <c r="E127" s="755" t="s">
        <v>3641</v>
      </c>
      <c r="H127" t="s">
        <v>3574</v>
      </c>
      <c r="L127" t="s">
        <v>3773</v>
      </c>
    </row>
    <row r="128" spans="1:12" x14ac:dyDescent="0.25">
      <c r="A128" s="754" t="s">
        <v>3642</v>
      </c>
      <c r="B128" s="754" t="s">
        <v>3643</v>
      </c>
      <c r="C128" s="754">
        <v>462</v>
      </c>
      <c r="D128" s="754" t="s">
        <v>3644</v>
      </c>
      <c r="E128" s="755" t="s">
        <v>3645</v>
      </c>
      <c r="H128" t="s">
        <v>3597</v>
      </c>
      <c r="L128" t="s">
        <v>3776</v>
      </c>
    </row>
    <row r="129" spans="1:12" x14ac:dyDescent="0.25">
      <c r="A129" s="754" t="s">
        <v>3646</v>
      </c>
      <c r="B129" s="754" t="s">
        <v>3647</v>
      </c>
      <c r="C129" s="754">
        <v>454</v>
      </c>
      <c r="D129" s="754" t="s">
        <v>3648</v>
      </c>
      <c r="E129" s="755" t="s">
        <v>3649</v>
      </c>
      <c r="H129" t="s">
        <v>3743</v>
      </c>
      <c r="L129" t="s">
        <v>3780</v>
      </c>
    </row>
    <row r="130" spans="1:12" ht="19.2" x14ac:dyDescent="0.25">
      <c r="A130" s="754" t="s">
        <v>3650</v>
      </c>
      <c r="B130" s="754" t="s">
        <v>3310</v>
      </c>
      <c r="C130" s="754">
        <v>484</v>
      </c>
      <c r="D130" s="754" t="s">
        <v>3651</v>
      </c>
      <c r="E130" s="755" t="s">
        <v>3652</v>
      </c>
      <c r="H130" t="s">
        <v>3763</v>
      </c>
      <c r="L130" t="s">
        <v>3784</v>
      </c>
    </row>
    <row r="131" spans="1:12" ht="19.2" x14ac:dyDescent="0.25">
      <c r="A131" s="754" t="s">
        <v>3653</v>
      </c>
      <c r="B131" s="754" t="s">
        <v>3654</v>
      </c>
      <c r="C131" s="754">
        <v>458</v>
      </c>
      <c r="D131" s="754" t="s">
        <v>3655</v>
      </c>
      <c r="E131" s="755" t="s">
        <v>3656</v>
      </c>
      <c r="H131" t="s">
        <v>3746</v>
      </c>
      <c r="L131" t="s">
        <v>3788</v>
      </c>
    </row>
    <row r="132" spans="1:12" ht="19.2" x14ac:dyDescent="0.25">
      <c r="A132" s="754" t="s">
        <v>3657</v>
      </c>
      <c r="B132" s="754" t="s">
        <v>3658</v>
      </c>
      <c r="C132" s="754">
        <v>943</v>
      </c>
      <c r="D132" s="754" t="s">
        <v>3659</v>
      </c>
      <c r="E132" s="755" t="s">
        <v>3660</v>
      </c>
      <c r="H132" t="s">
        <v>3390</v>
      </c>
      <c r="L132" t="s">
        <v>3792</v>
      </c>
    </row>
    <row r="133" spans="1:12" ht="19.2" x14ac:dyDescent="0.25">
      <c r="A133" s="754" t="s">
        <v>3661</v>
      </c>
      <c r="B133" s="754" t="s">
        <v>3310</v>
      </c>
      <c r="C133" s="754">
        <v>516</v>
      </c>
      <c r="D133" s="754" t="s">
        <v>3662</v>
      </c>
      <c r="E133" s="755" t="s">
        <v>3663</v>
      </c>
      <c r="H133" t="s">
        <v>3771</v>
      </c>
      <c r="L133" t="s">
        <v>3796</v>
      </c>
    </row>
    <row r="134" spans="1:12" x14ac:dyDescent="0.25">
      <c r="A134" s="754" t="s">
        <v>3664</v>
      </c>
      <c r="B134" s="754" t="s">
        <v>3665</v>
      </c>
      <c r="C134" s="754">
        <v>566</v>
      </c>
      <c r="D134" s="754" t="s">
        <v>3666</v>
      </c>
      <c r="E134" s="755" t="s">
        <v>3667</v>
      </c>
      <c r="H134" t="s">
        <v>3805</v>
      </c>
      <c r="L134" t="s">
        <v>3801</v>
      </c>
    </row>
    <row r="135" spans="1:12" x14ac:dyDescent="0.25">
      <c r="A135" s="754" t="s">
        <v>3668</v>
      </c>
      <c r="B135" s="754" t="s">
        <v>3669</v>
      </c>
      <c r="C135" s="754">
        <v>558</v>
      </c>
      <c r="D135" s="754" t="s">
        <v>3670</v>
      </c>
      <c r="E135" s="755" t="s">
        <v>3671</v>
      </c>
      <c r="H135" t="s">
        <v>3337</v>
      </c>
      <c r="L135" t="s">
        <v>3804</v>
      </c>
    </row>
    <row r="136" spans="1:12" ht="19.2" x14ac:dyDescent="0.25">
      <c r="A136" s="754" t="s">
        <v>3672</v>
      </c>
      <c r="B136" s="754" t="s">
        <v>3420</v>
      </c>
      <c r="C136" s="754">
        <v>578</v>
      </c>
      <c r="D136" s="754" t="s">
        <v>3673</v>
      </c>
      <c r="E136" s="755" t="s">
        <v>3674</v>
      </c>
      <c r="H136" t="s">
        <v>3851</v>
      </c>
      <c r="L136" t="s">
        <v>3807</v>
      </c>
    </row>
    <row r="137" spans="1:12" ht="19.2" x14ac:dyDescent="0.25">
      <c r="A137" s="754" t="s">
        <v>3675</v>
      </c>
      <c r="B137" s="754" t="s">
        <v>3639</v>
      </c>
      <c r="C137" s="754">
        <v>524</v>
      </c>
      <c r="D137" s="754" t="s">
        <v>3676</v>
      </c>
      <c r="E137" s="755" t="s">
        <v>3677</v>
      </c>
      <c r="H137" t="s">
        <v>3808</v>
      </c>
      <c r="L137" t="s">
        <v>3810</v>
      </c>
    </row>
    <row r="138" spans="1:12" ht="19.2" x14ac:dyDescent="0.25">
      <c r="A138" s="903" t="s">
        <v>3678</v>
      </c>
      <c r="B138" s="903" t="s">
        <v>3310</v>
      </c>
      <c r="C138" s="903">
        <v>554</v>
      </c>
      <c r="D138" s="903" t="s">
        <v>3679</v>
      </c>
      <c r="E138" s="755" t="s">
        <v>3680</v>
      </c>
      <c r="H138" t="s">
        <v>3585</v>
      </c>
      <c r="L138" t="s">
        <v>3814</v>
      </c>
    </row>
    <row r="139" spans="1:12" ht="19.2" x14ac:dyDescent="0.25">
      <c r="A139" s="904"/>
      <c r="B139" s="904"/>
      <c r="C139" s="904"/>
      <c r="D139" s="904"/>
      <c r="E139" s="758" t="s">
        <v>3681</v>
      </c>
      <c r="H139" t="s">
        <v>3802</v>
      </c>
      <c r="L139" t="s">
        <v>3817</v>
      </c>
    </row>
    <row r="140" spans="1:12" x14ac:dyDescent="0.25">
      <c r="A140" s="904"/>
      <c r="B140" s="904"/>
      <c r="C140" s="904"/>
      <c r="D140" s="904"/>
      <c r="E140" s="758" t="s">
        <v>3682</v>
      </c>
      <c r="H140" t="s">
        <v>3629</v>
      </c>
      <c r="L140" t="s">
        <v>3831</v>
      </c>
    </row>
    <row r="141" spans="1:12" ht="19.2" x14ac:dyDescent="0.25">
      <c r="A141" s="905"/>
      <c r="B141" s="905"/>
      <c r="C141" s="905"/>
      <c r="D141" s="905"/>
      <c r="E141" s="758" t="s">
        <v>3683</v>
      </c>
      <c r="H141" t="s">
        <v>3790</v>
      </c>
      <c r="L141" t="s">
        <v>3834</v>
      </c>
    </row>
    <row r="142" spans="1:12" x14ac:dyDescent="0.25">
      <c r="A142" s="754" t="s">
        <v>3684</v>
      </c>
      <c r="B142" s="754" t="s">
        <v>3685</v>
      </c>
      <c r="C142" s="754">
        <v>512</v>
      </c>
      <c r="D142" s="754" t="s">
        <v>3686</v>
      </c>
      <c r="E142" s="755" t="s">
        <v>3687</v>
      </c>
      <c r="H142" t="s">
        <v>3798</v>
      </c>
      <c r="L142" t="s">
        <v>3837</v>
      </c>
    </row>
    <row r="143" spans="1:12" x14ac:dyDescent="0.25">
      <c r="A143" s="754" t="s">
        <v>3688</v>
      </c>
      <c r="B143" s="754" t="s">
        <v>3689</v>
      </c>
      <c r="C143" s="754">
        <v>590</v>
      </c>
      <c r="D143" s="754" t="s">
        <v>3690</v>
      </c>
      <c r="E143" s="755" t="s">
        <v>3691</v>
      </c>
      <c r="H143" t="s">
        <v>3291</v>
      </c>
      <c r="L143" t="s">
        <v>3841</v>
      </c>
    </row>
    <row r="144" spans="1:12" x14ac:dyDescent="0.25">
      <c r="A144" s="754" t="s">
        <v>3692</v>
      </c>
      <c r="B144" s="754" t="s">
        <v>3693</v>
      </c>
      <c r="C144" s="754">
        <v>604</v>
      </c>
      <c r="D144" s="754" t="s">
        <v>3694</v>
      </c>
      <c r="E144" s="755" t="s">
        <v>3695</v>
      </c>
      <c r="H144" t="s">
        <v>3815</v>
      </c>
      <c r="L144" t="s">
        <v>3845</v>
      </c>
    </row>
    <row r="145" spans="1:12" ht="28.8" x14ac:dyDescent="0.25">
      <c r="A145" s="754" t="s">
        <v>3696</v>
      </c>
      <c r="B145" s="754" t="s">
        <v>3624</v>
      </c>
      <c r="C145" s="754">
        <v>598</v>
      </c>
      <c r="D145" s="754" t="s">
        <v>3697</v>
      </c>
      <c r="E145" s="755" t="s">
        <v>3698</v>
      </c>
      <c r="H145" t="s">
        <v>3818</v>
      </c>
      <c r="L145" t="s">
        <v>3849</v>
      </c>
    </row>
    <row r="146" spans="1:12" ht="19.2" x14ac:dyDescent="0.25">
      <c r="A146" s="754" t="s">
        <v>3699</v>
      </c>
      <c r="B146" s="754" t="s">
        <v>3700</v>
      </c>
      <c r="C146" s="754">
        <v>608</v>
      </c>
      <c r="D146" s="754" t="s">
        <v>3701</v>
      </c>
      <c r="E146" s="755" t="s">
        <v>3702</v>
      </c>
      <c r="H146" t="s">
        <v>3835</v>
      </c>
      <c r="L146" t="s">
        <v>3853</v>
      </c>
    </row>
    <row r="147" spans="1:12" ht="19.2" x14ac:dyDescent="0.25">
      <c r="A147" s="754" t="s">
        <v>3703</v>
      </c>
      <c r="B147" s="754" t="s">
        <v>3639</v>
      </c>
      <c r="C147" s="754">
        <v>586</v>
      </c>
      <c r="D147" s="754" t="s">
        <v>3704</v>
      </c>
      <c r="E147" s="755" t="s">
        <v>3705</v>
      </c>
      <c r="H147" t="s">
        <v>3847</v>
      </c>
      <c r="L147" t="s">
        <v>3869</v>
      </c>
    </row>
    <row r="148" spans="1:12" x14ac:dyDescent="0.25">
      <c r="A148" s="754" t="s">
        <v>3706</v>
      </c>
      <c r="B148" s="754" t="s">
        <v>3707</v>
      </c>
      <c r="C148" s="754">
        <v>985</v>
      </c>
      <c r="D148" s="754" t="s">
        <v>3708</v>
      </c>
      <c r="E148" s="755" t="s">
        <v>3709</v>
      </c>
      <c r="H148" t="s">
        <v>3885</v>
      </c>
      <c r="L148" t="s">
        <v>3879</v>
      </c>
    </row>
    <row r="149" spans="1:12" x14ac:dyDescent="0.25">
      <c r="A149" s="754" t="s">
        <v>3710</v>
      </c>
      <c r="B149" s="754" t="s">
        <v>3711</v>
      </c>
      <c r="C149" s="754">
        <v>600</v>
      </c>
      <c r="D149" s="754" t="s">
        <v>3712</v>
      </c>
      <c r="E149" s="755" t="s">
        <v>3713</v>
      </c>
      <c r="H149" t="s">
        <v>3557</v>
      </c>
      <c r="L149" t="s">
        <v>3884</v>
      </c>
    </row>
    <row r="150" spans="1:12" x14ac:dyDescent="0.25">
      <c r="A150" s="754" t="s">
        <v>3714</v>
      </c>
      <c r="B150" s="754" t="s">
        <v>3715</v>
      </c>
      <c r="C150" s="754">
        <v>634</v>
      </c>
      <c r="D150" s="754" t="s">
        <v>3716</v>
      </c>
      <c r="E150" s="755" t="s">
        <v>3717</v>
      </c>
      <c r="H150" t="s">
        <v>3398</v>
      </c>
      <c r="L150" t="s">
        <v>3887</v>
      </c>
    </row>
    <row r="151" spans="1:12" x14ac:dyDescent="0.25">
      <c r="A151" s="754" t="s">
        <v>3718</v>
      </c>
      <c r="B151" s="754" t="s">
        <v>3298</v>
      </c>
      <c r="C151" s="754">
        <v>946</v>
      </c>
      <c r="D151" s="754" t="s">
        <v>3719</v>
      </c>
      <c r="E151" s="755" t="s">
        <v>3720</v>
      </c>
      <c r="H151" t="s">
        <v>3893</v>
      </c>
      <c r="L151" t="s">
        <v>3891</v>
      </c>
    </row>
    <row r="152" spans="1:12" x14ac:dyDescent="0.25">
      <c r="A152" s="903" t="s">
        <v>3721</v>
      </c>
      <c r="B152" s="903" t="s">
        <v>3722</v>
      </c>
      <c r="C152" s="903">
        <v>941</v>
      </c>
      <c r="D152" s="903" t="s">
        <v>3723</v>
      </c>
      <c r="E152" s="755" t="s">
        <v>3455</v>
      </c>
      <c r="H152" t="s">
        <v>3896</v>
      </c>
      <c r="L152" t="s">
        <v>3895</v>
      </c>
    </row>
    <row r="153" spans="1:12" ht="12.45" customHeight="1" x14ac:dyDescent="0.25">
      <c r="A153" s="905"/>
      <c r="B153" s="905"/>
      <c r="C153" s="905"/>
      <c r="D153" s="905"/>
      <c r="E153" s="758" t="s">
        <v>3724</v>
      </c>
    </row>
    <row r="154" spans="1:12" ht="12.45" customHeight="1" x14ac:dyDescent="0.25">
      <c r="A154" s="903" t="s">
        <v>3725</v>
      </c>
      <c r="B154" s="903" t="s">
        <v>3726</v>
      </c>
      <c r="C154" s="903">
        <v>643</v>
      </c>
      <c r="D154" s="903" t="s">
        <v>3727</v>
      </c>
      <c r="E154" s="755" t="s">
        <v>3728</v>
      </c>
    </row>
    <row r="155" spans="1:12" ht="19.2" x14ac:dyDescent="0.25">
      <c r="A155" s="905"/>
      <c r="B155" s="905"/>
      <c r="C155" s="905"/>
      <c r="D155" s="905"/>
      <c r="E155" s="758" t="s">
        <v>3485</v>
      </c>
    </row>
    <row r="156" spans="1:12" ht="19.2" x14ac:dyDescent="0.25">
      <c r="A156" s="754" t="s">
        <v>3729</v>
      </c>
      <c r="B156" s="754" t="s">
        <v>3348</v>
      </c>
      <c r="C156" s="754">
        <v>646</v>
      </c>
      <c r="D156" s="754" t="s">
        <v>3730</v>
      </c>
      <c r="E156" s="755" t="s">
        <v>3731</v>
      </c>
    </row>
    <row r="157" spans="1:12" ht="19.2" x14ac:dyDescent="0.25">
      <c r="A157" s="754" t="s">
        <v>3732</v>
      </c>
      <c r="B157" s="754" t="s">
        <v>3733</v>
      </c>
      <c r="C157" s="754">
        <v>682</v>
      </c>
      <c r="D157" s="754" t="s">
        <v>3734</v>
      </c>
      <c r="E157" s="755" t="s">
        <v>3735</v>
      </c>
    </row>
    <row r="158" spans="1:12" ht="28.8" x14ac:dyDescent="0.25">
      <c r="A158" s="754" t="s">
        <v>3736</v>
      </c>
      <c r="B158" s="754" t="s">
        <v>3310</v>
      </c>
      <c r="C158" s="754">
        <v>90</v>
      </c>
      <c r="D158" s="754" t="s">
        <v>3737</v>
      </c>
      <c r="E158" s="755" t="s">
        <v>3738</v>
      </c>
    </row>
    <row r="159" spans="1:12" ht="19.2" x14ac:dyDescent="0.25">
      <c r="A159" s="754" t="s">
        <v>3739</v>
      </c>
      <c r="B159" s="754" t="s">
        <v>3639</v>
      </c>
      <c r="C159" s="754">
        <v>690</v>
      </c>
      <c r="D159" s="754" t="s">
        <v>3740</v>
      </c>
      <c r="E159" s="755" t="s">
        <v>3741</v>
      </c>
    </row>
    <row r="160" spans="1:12" ht="19.2" x14ac:dyDescent="0.25">
      <c r="A160" s="754" t="s">
        <v>3742</v>
      </c>
      <c r="B160" s="754" t="s">
        <v>3430</v>
      </c>
      <c r="C160" s="754">
        <v>938</v>
      </c>
      <c r="D160" s="754" t="s">
        <v>3743</v>
      </c>
      <c r="E160" s="755" t="s">
        <v>3744</v>
      </c>
    </row>
    <row r="161" spans="1:5" ht="19.2" x14ac:dyDescent="0.25">
      <c r="A161" s="754" t="s">
        <v>3745</v>
      </c>
      <c r="B161" s="754" t="s">
        <v>3420</v>
      </c>
      <c r="C161" s="754">
        <v>752</v>
      </c>
      <c r="D161" s="754" t="s">
        <v>3746</v>
      </c>
      <c r="E161" s="755" t="s">
        <v>3747</v>
      </c>
    </row>
    <row r="162" spans="1:5" ht="12.45" customHeight="1" x14ac:dyDescent="0.25">
      <c r="A162" s="903" t="s">
        <v>3748</v>
      </c>
      <c r="B162" s="903" t="s">
        <v>3310</v>
      </c>
      <c r="C162" s="903">
        <v>702</v>
      </c>
      <c r="D162" s="903" t="s">
        <v>3749</v>
      </c>
      <c r="E162" s="755" t="s">
        <v>3356</v>
      </c>
    </row>
    <row r="163" spans="1:5" ht="12.45" customHeight="1" x14ac:dyDescent="0.25">
      <c r="A163" s="905"/>
      <c r="B163" s="905"/>
      <c r="C163" s="905"/>
      <c r="D163" s="905"/>
      <c r="E163" s="758" t="s">
        <v>3357</v>
      </c>
    </row>
    <row r="164" spans="1:5" ht="19.2" x14ac:dyDescent="0.25">
      <c r="A164" s="903" t="s">
        <v>3750</v>
      </c>
      <c r="B164" s="903" t="s">
        <v>3430</v>
      </c>
      <c r="C164" s="903">
        <v>654</v>
      </c>
      <c r="D164" s="903" t="s">
        <v>3751</v>
      </c>
      <c r="E164" s="755" t="s">
        <v>3752</v>
      </c>
    </row>
    <row r="165" spans="1:5" ht="19.2" x14ac:dyDescent="0.25">
      <c r="A165" s="904"/>
      <c r="B165" s="904"/>
      <c r="C165" s="904"/>
      <c r="D165" s="904"/>
      <c r="E165" s="758" t="s">
        <v>3753</v>
      </c>
    </row>
    <row r="166" spans="1:5" ht="19.2" x14ac:dyDescent="0.25">
      <c r="A166" s="905"/>
      <c r="B166" s="905"/>
      <c r="C166" s="905"/>
      <c r="D166" s="905"/>
      <c r="E166" s="758" t="s">
        <v>3754</v>
      </c>
    </row>
    <row r="167" spans="1:5" ht="19.2" x14ac:dyDescent="0.25">
      <c r="A167" s="754" t="s">
        <v>3755</v>
      </c>
      <c r="B167" s="754" t="s">
        <v>3756</v>
      </c>
      <c r="C167" s="754">
        <v>694</v>
      </c>
      <c r="D167" s="754" t="s">
        <v>3757</v>
      </c>
      <c r="E167" s="755" t="s">
        <v>3758</v>
      </c>
    </row>
    <row r="168" spans="1:5" ht="19.2" x14ac:dyDescent="0.25">
      <c r="A168" s="754" t="s">
        <v>3759</v>
      </c>
      <c r="B168" s="754" t="s">
        <v>3559</v>
      </c>
      <c r="C168" s="754">
        <v>706</v>
      </c>
      <c r="D168" s="754" t="s">
        <v>3760</v>
      </c>
      <c r="E168" s="755" t="s">
        <v>3761</v>
      </c>
    </row>
    <row r="169" spans="1:5" ht="19.2" x14ac:dyDescent="0.25">
      <c r="A169" s="754" t="s">
        <v>3762</v>
      </c>
      <c r="B169" s="754" t="s">
        <v>3310</v>
      </c>
      <c r="C169" s="754">
        <v>968</v>
      </c>
      <c r="D169" s="754" t="s">
        <v>3763</v>
      </c>
      <c r="E169" s="755" t="s">
        <v>3764</v>
      </c>
    </row>
    <row r="170" spans="1:5" ht="38.4" x14ac:dyDescent="0.25">
      <c r="A170" s="754" t="s">
        <v>3765</v>
      </c>
      <c r="B170" s="754" t="s">
        <v>3766</v>
      </c>
      <c r="C170" s="754">
        <v>930</v>
      </c>
      <c r="D170" s="754" t="s">
        <v>3767</v>
      </c>
      <c r="E170" s="755" t="s">
        <v>3768</v>
      </c>
    </row>
    <row r="171" spans="1:5" x14ac:dyDescent="0.25">
      <c r="A171" s="754" t="s">
        <v>3769</v>
      </c>
      <c r="B171" s="754" t="s">
        <v>3770</v>
      </c>
      <c r="C171" s="754">
        <v>760</v>
      </c>
      <c r="D171" s="754" t="s">
        <v>3771</v>
      </c>
      <c r="E171" s="755" t="s">
        <v>3772</v>
      </c>
    </row>
    <row r="172" spans="1:5" x14ac:dyDescent="0.25">
      <c r="A172" s="754" t="s">
        <v>3773</v>
      </c>
      <c r="B172" s="754" t="s">
        <v>3298</v>
      </c>
      <c r="C172" s="754">
        <v>748</v>
      </c>
      <c r="D172" s="754" t="s">
        <v>3774</v>
      </c>
      <c r="E172" s="755" t="s">
        <v>3775</v>
      </c>
    </row>
    <row r="173" spans="1:5" x14ac:dyDescent="0.25">
      <c r="A173" s="754" t="s">
        <v>3776</v>
      </c>
      <c r="B173" s="754" t="s">
        <v>3777</v>
      </c>
      <c r="C173" s="754">
        <v>764</v>
      </c>
      <c r="D173" s="754" t="s">
        <v>3778</v>
      </c>
      <c r="E173" s="755" t="s">
        <v>3779</v>
      </c>
    </row>
    <row r="174" spans="1:5" x14ac:dyDescent="0.25">
      <c r="A174" s="754" t="s">
        <v>3780</v>
      </c>
      <c r="B174" s="754" t="s">
        <v>3781</v>
      </c>
      <c r="C174" s="754">
        <v>972</v>
      </c>
      <c r="D174" s="754" t="s">
        <v>3782</v>
      </c>
      <c r="E174" s="755" t="s">
        <v>3783</v>
      </c>
    </row>
    <row r="175" spans="1:5" ht="19.2" x14ac:dyDescent="0.25">
      <c r="A175" s="754" t="s">
        <v>3784</v>
      </c>
      <c r="B175" s="754" t="s">
        <v>3785</v>
      </c>
      <c r="C175" s="754">
        <v>934</v>
      </c>
      <c r="D175" s="754" t="s">
        <v>3786</v>
      </c>
      <c r="E175" s="755" t="s">
        <v>3787</v>
      </c>
    </row>
    <row r="176" spans="1:5" ht="19.2" x14ac:dyDescent="0.25">
      <c r="A176" s="754" t="s">
        <v>3788</v>
      </c>
      <c r="B176" s="754" t="s">
        <v>3789</v>
      </c>
      <c r="C176" s="754">
        <v>788</v>
      </c>
      <c r="D176" s="754" t="s">
        <v>3790</v>
      </c>
      <c r="E176" s="755" t="s">
        <v>3791</v>
      </c>
    </row>
    <row r="177" spans="1:5" x14ac:dyDescent="0.25">
      <c r="A177" s="754" t="s">
        <v>3792</v>
      </c>
      <c r="B177" s="754" t="s">
        <v>3793</v>
      </c>
      <c r="C177" s="754">
        <v>776</v>
      </c>
      <c r="D177" s="754" t="s">
        <v>3794</v>
      </c>
      <c r="E177" s="755" t="s">
        <v>3795</v>
      </c>
    </row>
    <row r="178" spans="1:5" ht="19.2" x14ac:dyDescent="0.25">
      <c r="A178" s="903" t="s">
        <v>3796</v>
      </c>
      <c r="B178" s="903" t="s">
        <v>3797</v>
      </c>
      <c r="C178" s="903">
        <v>949</v>
      </c>
      <c r="D178" s="903" t="s">
        <v>3798</v>
      </c>
      <c r="E178" s="755" t="s">
        <v>3799</v>
      </c>
    </row>
    <row r="179" spans="1:5" x14ac:dyDescent="0.25">
      <c r="A179" s="905"/>
      <c r="B179" s="905"/>
      <c r="C179" s="905"/>
      <c r="D179" s="905"/>
      <c r="E179" s="758" t="s">
        <v>3800</v>
      </c>
    </row>
    <row r="180" spans="1:5" ht="28.8" x14ac:dyDescent="0.25">
      <c r="A180" s="754" t="s">
        <v>3801</v>
      </c>
      <c r="B180" s="754" t="s">
        <v>3310</v>
      </c>
      <c r="C180" s="754">
        <v>780</v>
      </c>
      <c r="D180" s="754" t="s">
        <v>3802</v>
      </c>
      <c r="E180" s="755" t="s">
        <v>3803</v>
      </c>
    </row>
    <row r="181" spans="1:5" ht="19.2" x14ac:dyDescent="0.25">
      <c r="A181" s="754" t="s">
        <v>3804</v>
      </c>
      <c r="B181" s="754" t="s">
        <v>3310</v>
      </c>
      <c r="C181" s="754">
        <v>901</v>
      </c>
      <c r="D181" s="754" t="s">
        <v>3805</v>
      </c>
      <c r="E181" s="755" t="s">
        <v>3806</v>
      </c>
    </row>
    <row r="182" spans="1:5" ht="19.2" x14ac:dyDescent="0.25">
      <c r="A182" s="754" t="s">
        <v>3807</v>
      </c>
      <c r="B182" s="754" t="s">
        <v>3559</v>
      </c>
      <c r="C182" s="754">
        <v>834</v>
      </c>
      <c r="D182" s="754" t="s">
        <v>3808</v>
      </c>
      <c r="E182" s="755" t="s">
        <v>3809</v>
      </c>
    </row>
    <row r="183" spans="1:5" x14ac:dyDescent="0.25">
      <c r="A183" s="754" t="s">
        <v>3810</v>
      </c>
      <c r="B183" s="754" t="s">
        <v>3811</v>
      </c>
      <c r="C183" s="754">
        <v>980</v>
      </c>
      <c r="D183" s="754" t="s">
        <v>3812</v>
      </c>
      <c r="E183" s="755" t="s">
        <v>3813</v>
      </c>
    </row>
    <row r="184" spans="1:5" ht="19.2" x14ac:dyDescent="0.25">
      <c r="A184" s="754" t="s">
        <v>3814</v>
      </c>
      <c r="B184" s="754" t="s">
        <v>3559</v>
      </c>
      <c r="C184" s="754">
        <v>800</v>
      </c>
      <c r="D184" s="754" t="s">
        <v>3815</v>
      </c>
      <c r="E184" s="755" t="s">
        <v>3816</v>
      </c>
    </row>
    <row r="185" spans="1:5" ht="19.2" x14ac:dyDescent="0.25">
      <c r="A185" s="903" t="s">
        <v>3817</v>
      </c>
      <c r="B185" s="903" t="s">
        <v>3310</v>
      </c>
      <c r="C185" s="903">
        <v>840</v>
      </c>
      <c r="D185" s="903" t="s">
        <v>3818</v>
      </c>
      <c r="E185" s="755" t="s">
        <v>3819</v>
      </c>
    </row>
    <row r="186" spans="1:5" ht="38.4" x14ac:dyDescent="0.25">
      <c r="A186" s="904"/>
      <c r="B186" s="904"/>
      <c r="C186" s="904"/>
      <c r="D186" s="904"/>
      <c r="E186" s="758" t="s">
        <v>3478</v>
      </c>
    </row>
    <row r="187" spans="1:5" ht="28.8" x14ac:dyDescent="0.25">
      <c r="A187" s="904"/>
      <c r="B187" s="904"/>
      <c r="C187" s="904"/>
      <c r="D187" s="904"/>
      <c r="E187" s="758" t="s">
        <v>3820</v>
      </c>
    </row>
    <row r="188" spans="1:5" x14ac:dyDescent="0.25">
      <c r="A188" s="904"/>
      <c r="B188" s="904"/>
      <c r="C188" s="904"/>
      <c r="D188" s="904"/>
      <c r="E188" s="758" t="s">
        <v>3821</v>
      </c>
    </row>
    <row r="189" spans="1:5" x14ac:dyDescent="0.25">
      <c r="A189" s="904"/>
      <c r="B189" s="904"/>
      <c r="C189" s="904"/>
      <c r="D189" s="904"/>
      <c r="E189" s="758" t="s">
        <v>3520</v>
      </c>
    </row>
    <row r="190" spans="1:5" ht="19.2" x14ac:dyDescent="0.25">
      <c r="A190" s="904"/>
      <c r="B190" s="904"/>
      <c r="C190" s="904"/>
      <c r="D190" s="904"/>
      <c r="E190" s="758" t="s">
        <v>3822</v>
      </c>
    </row>
    <row r="191" spans="1:5" ht="19.2" x14ac:dyDescent="0.25">
      <c r="A191" s="904"/>
      <c r="B191" s="904"/>
      <c r="C191" s="904"/>
      <c r="D191" s="904"/>
      <c r="E191" s="758" t="s">
        <v>3823</v>
      </c>
    </row>
    <row r="192" spans="1:5" ht="28.8" x14ac:dyDescent="0.25">
      <c r="A192" s="904"/>
      <c r="B192" s="904"/>
      <c r="C192" s="904"/>
      <c r="D192" s="904"/>
      <c r="E192" s="758" t="s">
        <v>3824</v>
      </c>
    </row>
    <row r="193" spans="1:5" ht="28.8" x14ac:dyDescent="0.25">
      <c r="A193" s="904"/>
      <c r="B193" s="904"/>
      <c r="C193" s="904"/>
      <c r="D193" s="904"/>
      <c r="E193" s="758" t="s">
        <v>3825</v>
      </c>
    </row>
    <row r="194" spans="1:5" x14ac:dyDescent="0.25">
      <c r="A194" s="904"/>
      <c r="B194" s="904"/>
      <c r="C194" s="904"/>
      <c r="D194" s="904"/>
      <c r="E194" s="758" t="s">
        <v>3826</v>
      </c>
    </row>
    <row r="195" spans="1:5" x14ac:dyDescent="0.25">
      <c r="A195" s="904"/>
      <c r="B195" s="904"/>
      <c r="C195" s="904"/>
      <c r="D195" s="904"/>
      <c r="E195" s="758" t="s">
        <v>3691</v>
      </c>
    </row>
    <row r="196" spans="1:5" ht="19.2" x14ac:dyDescent="0.25">
      <c r="A196" s="904"/>
      <c r="B196" s="904"/>
      <c r="C196" s="904"/>
      <c r="D196" s="904"/>
      <c r="E196" s="758" t="s">
        <v>3827</v>
      </c>
    </row>
    <row r="197" spans="1:5" ht="28.8" x14ac:dyDescent="0.25">
      <c r="A197" s="904"/>
      <c r="B197" s="904"/>
      <c r="C197" s="904"/>
      <c r="D197" s="904"/>
      <c r="E197" s="758" t="s">
        <v>3828</v>
      </c>
    </row>
    <row r="198" spans="1:5" ht="28.8" x14ac:dyDescent="0.25">
      <c r="A198" s="904"/>
      <c r="B198" s="904"/>
      <c r="C198" s="904"/>
      <c r="D198" s="904"/>
      <c r="E198" s="758" t="s">
        <v>3829</v>
      </c>
    </row>
    <row r="199" spans="1:5" ht="19.2" x14ac:dyDescent="0.25">
      <c r="A199" s="905"/>
      <c r="B199" s="905"/>
      <c r="C199" s="905"/>
      <c r="D199" s="905"/>
      <c r="E199" s="758" t="s">
        <v>3830</v>
      </c>
    </row>
    <row r="200" spans="1:5" ht="19.2" x14ac:dyDescent="0.25">
      <c r="A200" s="754" t="s">
        <v>3831</v>
      </c>
      <c r="B200" s="754" t="s">
        <v>3310</v>
      </c>
      <c r="C200" s="754">
        <v>858</v>
      </c>
      <c r="D200" s="754" t="s">
        <v>3832</v>
      </c>
      <c r="E200" s="755" t="s">
        <v>3833</v>
      </c>
    </row>
    <row r="201" spans="1:5" ht="19.2" x14ac:dyDescent="0.25">
      <c r="A201" s="754" t="s">
        <v>3834</v>
      </c>
      <c r="B201" s="754"/>
      <c r="C201" s="754">
        <v>860</v>
      </c>
      <c r="D201" s="754" t="s">
        <v>3835</v>
      </c>
      <c r="E201" s="755" t="s">
        <v>3836</v>
      </c>
    </row>
    <row r="202" spans="1:5" ht="19.2" x14ac:dyDescent="0.25">
      <c r="A202" s="754" t="s">
        <v>3837</v>
      </c>
      <c r="B202" s="754" t="s">
        <v>3838</v>
      </c>
      <c r="C202" s="754">
        <v>937</v>
      </c>
      <c r="D202" s="754" t="s">
        <v>3839</v>
      </c>
      <c r="E202" s="755" t="s">
        <v>3840</v>
      </c>
    </row>
    <row r="203" spans="1:5" x14ac:dyDescent="0.25">
      <c r="A203" s="754" t="s">
        <v>3841</v>
      </c>
      <c r="B203" s="754" t="s">
        <v>3842</v>
      </c>
      <c r="C203" s="754">
        <v>704</v>
      </c>
      <c r="D203" s="754" t="s">
        <v>3843</v>
      </c>
      <c r="E203" s="755" t="s">
        <v>3844</v>
      </c>
    </row>
    <row r="204" spans="1:5" x14ac:dyDescent="0.25">
      <c r="A204" s="754" t="s">
        <v>3845</v>
      </c>
      <c r="B204" s="754" t="s">
        <v>3846</v>
      </c>
      <c r="C204" s="754">
        <v>548</v>
      </c>
      <c r="D204" s="754" t="s">
        <v>3847</v>
      </c>
      <c r="E204" s="755" t="s">
        <v>3848</v>
      </c>
    </row>
    <row r="205" spans="1:5" ht="12.45" customHeight="1" x14ac:dyDescent="0.25">
      <c r="A205" s="754" t="s">
        <v>3849</v>
      </c>
      <c r="B205" s="754" t="s">
        <v>3850</v>
      </c>
      <c r="C205" s="754">
        <v>882</v>
      </c>
      <c r="D205" s="754" t="s">
        <v>3851</v>
      </c>
      <c r="E205" s="755" t="s">
        <v>3852</v>
      </c>
    </row>
    <row r="206" spans="1:5" ht="12.45" customHeight="1" x14ac:dyDescent="0.25">
      <c r="A206" s="903" t="s">
        <v>3853</v>
      </c>
      <c r="B206" s="903" t="s">
        <v>3348</v>
      </c>
      <c r="C206" s="903">
        <v>950</v>
      </c>
      <c r="D206" s="903" t="s">
        <v>3854</v>
      </c>
      <c r="E206" s="755" t="s">
        <v>3855</v>
      </c>
    </row>
    <row r="207" spans="1:5" ht="19.2" x14ac:dyDescent="0.25">
      <c r="A207" s="904"/>
      <c r="B207" s="904"/>
      <c r="C207" s="904"/>
      <c r="D207" s="904"/>
      <c r="E207" s="758" t="s">
        <v>3856</v>
      </c>
    </row>
    <row r="208" spans="1:5" ht="19.2" x14ac:dyDescent="0.25">
      <c r="A208" s="904"/>
      <c r="B208" s="904"/>
      <c r="C208" s="904"/>
      <c r="D208" s="904"/>
      <c r="E208" s="758" t="s">
        <v>3857</v>
      </c>
    </row>
    <row r="209" spans="1:5" ht="28.8" x14ac:dyDescent="0.25">
      <c r="A209" s="904"/>
      <c r="B209" s="904"/>
      <c r="C209" s="904"/>
      <c r="D209" s="904"/>
      <c r="E209" s="758" t="s">
        <v>3858</v>
      </c>
    </row>
    <row r="210" spans="1:5" x14ac:dyDescent="0.25">
      <c r="A210" s="904"/>
      <c r="B210" s="904"/>
      <c r="C210" s="904"/>
      <c r="D210" s="904"/>
      <c r="E210" s="758" t="s">
        <v>3859</v>
      </c>
    </row>
    <row r="211" spans="1:5" ht="28.8" x14ac:dyDescent="0.25">
      <c r="A211" s="904"/>
      <c r="B211" s="904"/>
      <c r="C211" s="904"/>
      <c r="D211" s="904"/>
      <c r="E211" s="758" t="s">
        <v>3860</v>
      </c>
    </row>
    <row r="212" spans="1:5" ht="19.2" x14ac:dyDescent="0.25">
      <c r="A212" s="904"/>
      <c r="B212" s="904"/>
      <c r="C212" s="904"/>
      <c r="D212" s="904"/>
      <c r="E212" s="758" t="s">
        <v>3861</v>
      </c>
    </row>
    <row r="213" spans="1:5" ht="19.2" x14ac:dyDescent="0.25">
      <c r="A213" s="904"/>
      <c r="B213" s="904"/>
      <c r="C213" s="904"/>
      <c r="D213" s="904"/>
      <c r="E213" s="758" t="s">
        <v>3862</v>
      </c>
    </row>
    <row r="214" spans="1:5" x14ac:dyDescent="0.25">
      <c r="A214" s="904"/>
      <c r="B214" s="904"/>
      <c r="C214" s="904"/>
      <c r="D214" s="904"/>
      <c r="E214" s="758" t="s">
        <v>3863</v>
      </c>
    </row>
    <row r="215" spans="1:5" ht="19.2" x14ac:dyDescent="0.25">
      <c r="A215" s="904"/>
      <c r="B215" s="904"/>
      <c r="C215" s="904"/>
      <c r="D215" s="904"/>
      <c r="E215" s="758" t="s">
        <v>3864</v>
      </c>
    </row>
    <row r="216" spans="1:5" x14ac:dyDescent="0.25">
      <c r="A216" s="904"/>
      <c r="B216" s="904"/>
      <c r="C216" s="904"/>
      <c r="D216" s="904"/>
      <c r="E216" s="758" t="s">
        <v>3865</v>
      </c>
    </row>
    <row r="217" spans="1:5" x14ac:dyDescent="0.25">
      <c r="A217" s="904"/>
      <c r="B217" s="904"/>
      <c r="C217" s="904"/>
      <c r="D217" s="904"/>
      <c r="E217" s="758" t="s">
        <v>3866</v>
      </c>
    </row>
    <row r="218" spans="1:5" x14ac:dyDescent="0.25">
      <c r="A218" s="904"/>
      <c r="B218" s="904"/>
      <c r="C218" s="904"/>
      <c r="D218" s="904"/>
      <c r="E218" s="758" t="s">
        <v>3867</v>
      </c>
    </row>
    <row r="219" spans="1:5" ht="12.45" customHeight="1" x14ac:dyDescent="0.25">
      <c r="A219" s="905"/>
      <c r="B219" s="905"/>
      <c r="C219" s="905"/>
      <c r="D219" s="905"/>
      <c r="E219" s="758" t="s">
        <v>3868</v>
      </c>
    </row>
    <row r="220" spans="1:5" ht="12.45" customHeight="1" x14ac:dyDescent="0.25">
      <c r="A220" s="903" t="s">
        <v>3869</v>
      </c>
      <c r="B220" s="903" t="s">
        <v>3310</v>
      </c>
      <c r="C220" s="903">
        <v>951</v>
      </c>
      <c r="D220" s="903" t="s">
        <v>3870</v>
      </c>
      <c r="E220" s="755" t="s">
        <v>3871</v>
      </c>
    </row>
    <row r="221" spans="1:5" ht="28.8" x14ac:dyDescent="0.25">
      <c r="A221" s="904"/>
      <c r="B221" s="904"/>
      <c r="C221" s="904"/>
      <c r="D221" s="904"/>
      <c r="E221" s="758" t="s">
        <v>3872</v>
      </c>
    </row>
    <row r="222" spans="1:5" x14ac:dyDescent="0.25">
      <c r="A222" s="904"/>
      <c r="B222" s="904"/>
      <c r="C222" s="904"/>
      <c r="D222" s="904"/>
      <c r="E222" s="758" t="s">
        <v>3873</v>
      </c>
    </row>
    <row r="223" spans="1:5" x14ac:dyDescent="0.25">
      <c r="A223" s="904"/>
      <c r="B223" s="904"/>
      <c r="C223" s="904"/>
      <c r="D223" s="904"/>
      <c r="E223" s="758" t="s">
        <v>3874</v>
      </c>
    </row>
    <row r="224" spans="1:5" x14ac:dyDescent="0.25">
      <c r="A224" s="904"/>
      <c r="B224" s="904"/>
      <c r="C224" s="904"/>
      <c r="D224" s="904"/>
      <c r="E224" s="758" t="s">
        <v>3875</v>
      </c>
    </row>
    <row r="225" spans="1:5" ht="19.2" x14ac:dyDescent="0.25">
      <c r="A225" s="904"/>
      <c r="B225" s="904"/>
      <c r="C225" s="904"/>
      <c r="D225" s="904"/>
      <c r="E225" s="758" t="s">
        <v>3876</v>
      </c>
    </row>
    <row r="226" spans="1:5" ht="19.2" x14ac:dyDescent="0.25">
      <c r="A226" s="904"/>
      <c r="B226" s="904"/>
      <c r="C226" s="904"/>
      <c r="D226" s="904"/>
      <c r="E226" s="758" t="s">
        <v>3877</v>
      </c>
    </row>
    <row r="227" spans="1:5" ht="38.4" x14ac:dyDescent="0.25">
      <c r="A227" s="905"/>
      <c r="B227" s="905"/>
      <c r="C227" s="905"/>
      <c r="D227" s="905"/>
      <c r="E227" s="758" t="s">
        <v>3878</v>
      </c>
    </row>
    <row r="228" spans="1:5" ht="19.2" x14ac:dyDescent="0.25">
      <c r="A228" s="903" t="s">
        <v>3879</v>
      </c>
      <c r="B228" s="903" t="s">
        <v>3348</v>
      </c>
      <c r="C228" s="903">
        <v>953</v>
      </c>
      <c r="D228" s="903" t="s">
        <v>3880</v>
      </c>
      <c r="E228" s="755" t="s">
        <v>3881</v>
      </c>
    </row>
    <row r="229" spans="1:5" ht="19.2" x14ac:dyDescent="0.25">
      <c r="A229" s="904"/>
      <c r="B229" s="904"/>
      <c r="C229" s="904"/>
      <c r="D229" s="904"/>
      <c r="E229" s="758" t="s">
        <v>3882</v>
      </c>
    </row>
    <row r="230" spans="1:5" ht="28.8" x14ac:dyDescent="0.25">
      <c r="A230" s="905"/>
      <c r="B230" s="905"/>
      <c r="C230" s="905"/>
      <c r="D230" s="905"/>
      <c r="E230" s="758" t="s">
        <v>3883</v>
      </c>
    </row>
    <row r="231" spans="1:5" x14ac:dyDescent="0.25">
      <c r="A231" s="754" t="s">
        <v>3884</v>
      </c>
      <c r="B231" s="754" t="s">
        <v>3542</v>
      </c>
      <c r="C231" s="754">
        <v>886</v>
      </c>
      <c r="D231" s="754" t="s">
        <v>3885</v>
      </c>
      <c r="E231" s="755" t="s">
        <v>3886</v>
      </c>
    </row>
    <row r="232" spans="1:5" x14ac:dyDescent="0.25">
      <c r="A232" s="903" t="s">
        <v>3887</v>
      </c>
      <c r="B232" s="903" t="s">
        <v>3888</v>
      </c>
      <c r="C232" s="903">
        <v>710</v>
      </c>
      <c r="D232" s="903" t="s">
        <v>3889</v>
      </c>
      <c r="E232" s="755" t="s">
        <v>3604</v>
      </c>
    </row>
    <row r="233" spans="1:5" x14ac:dyDescent="0.25">
      <c r="A233" s="904"/>
      <c r="B233" s="904"/>
      <c r="C233" s="904"/>
      <c r="D233" s="904"/>
      <c r="E233" s="758" t="s">
        <v>3663</v>
      </c>
    </row>
    <row r="234" spans="1:5" ht="19.2" x14ac:dyDescent="0.25">
      <c r="A234" s="905"/>
      <c r="B234" s="905"/>
      <c r="C234" s="905"/>
      <c r="D234" s="905"/>
      <c r="E234" s="758" t="s">
        <v>3890</v>
      </c>
    </row>
    <row r="235" spans="1:5" ht="19.2" x14ac:dyDescent="0.25">
      <c r="A235" s="754" t="s">
        <v>3891</v>
      </c>
      <c r="B235" s="754" t="s">
        <v>3892</v>
      </c>
      <c r="C235" s="754">
        <v>967</v>
      </c>
      <c r="D235" s="754" t="s">
        <v>3893</v>
      </c>
      <c r="E235" s="755" t="s">
        <v>3894</v>
      </c>
    </row>
    <row r="236" spans="1:5" ht="19.8" thickBot="1" x14ac:dyDescent="0.3">
      <c r="A236" s="759" t="s">
        <v>3895</v>
      </c>
      <c r="B236" s="759" t="s">
        <v>3310</v>
      </c>
      <c r="C236" s="759">
        <v>932</v>
      </c>
      <c r="D236" s="759" t="s">
        <v>3896</v>
      </c>
      <c r="E236" s="760" t="s">
        <v>3897</v>
      </c>
    </row>
  </sheetData>
  <sortState xmlns:xlrd2="http://schemas.microsoft.com/office/spreadsheetml/2017/richdata2" ref="L2:L236">
    <sortCondition ref="L2:L236"/>
  </sortState>
  <mergeCells count="76">
    <mergeCell ref="A8:A12"/>
    <mergeCell ref="B8:B12"/>
    <mergeCell ref="C8:C12"/>
    <mergeCell ref="D8:D12"/>
    <mergeCell ref="A22:A23"/>
    <mergeCell ref="B22:B23"/>
    <mergeCell ref="C22:C23"/>
    <mergeCell ref="D22:D23"/>
    <mergeCell ref="A33:A34"/>
    <mergeCell ref="B33:B34"/>
    <mergeCell ref="C33:C34"/>
    <mergeCell ref="D33:D34"/>
    <mergeCell ref="A49:A74"/>
    <mergeCell ref="B49:B74"/>
    <mergeCell ref="C49:C74"/>
    <mergeCell ref="D49:D74"/>
    <mergeCell ref="A77:A80"/>
    <mergeCell ref="B77:B80"/>
    <mergeCell ref="C77:C80"/>
    <mergeCell ref="D77:D80"/>
    <mergeCell ref="A81:A82"/>
    <mergeCell ref="B81:B82"/>
    <mergeCell ref="C81:C82"/>
    <mergeCell ref="D81:D82"/>
    <mergeCell ref="A95:A96"/>
    <mergeCell ref="B95:B96"/>
    <mergeCell ref="C95:C96"/>
    <mergeCell ref="D95:D96"/>
    <mergeCell ref="A97:A98"/>
    <mergeCell ref="B97:B98"/>
    <mergeCell ref="C97:C98"/>
    <mergeCell ref="D97:D98"/>
    <mergeCell ref="A138:A141"/>
    <mergeCell ref="B138:B141"/>
    <mergeCell ref="C138:C141"/>
    <mergeCell ref="D138:D141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62:A163"/>
    <mergeCell ref="B162:B163"/>
    <mergeCell ref="C162:C163"/>
    <mergeCell ref="D162:D163"/>
    <mergeCell ref="A164:A166"/>
    <mergeCell ref="B164:B166"/>
    <mergeCell ref="C164:C166"/>
    <mergeCell ref="D164:D166"/>
    <mergeCell ref="A178:A179"/>
    <mergeCell ref="B178:B179"/>
    <mergeCell ref="C178:C179"/>
    <mergeCell ref="D178:D179"/>
    <mergeCell ref="A185:A199"/>
    <mergeCell ref="B185:B199"/>
    <mergeCell ref="C185:C199"/>
    <mergeCell ref="D185:D199"/>
    <mergeCell ref="A206:A219"/>
    <mergeCell ref="B206:B219"/>
    <mergeCell ref="C206:C219"/>
    <mergeCell ref="D206:D219"/>
    <mergeCell ref="A232:A234"/>
    <mergeCell ref="B232:B234"/>
    <mergeCell ref="C232:C234"/>
    <mergeCell ref="D232:D234"/>
    <mergeCell ref="A220:A227"/>
    <mergeCell ref="B220:B227"/>
    <mergeCell ref="C220:C227"/>
    <mergeCell ref="D220:D227"/>
    <mergeCell ref="A228:A230"/>
    <mergeCell ref="B228:B230"/>
    <mergeCell ref="C228:C230"/>
    <mergeCell ref="D228:D2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6"/>
  <dimension ref="A4:I2687"/>
  <sheetViews>
    <sheetView workbookViewId="0">
      <selection activeCell="G9" sqref="G9"/>
    </sheetView>
  </sheetViews>
  <sheetFormatPr defaultColWidth="9.21875" defaultRowHeight="14.4" x14ac:dyDescent="0.3"/>
  <cols>
    <col min="1" max="1" width="10.44140625" style="593" bestFit="1" customWidth="1"/>
    <col min="2" max="2" width="9.21875" style="420" bestFit="1" customWidth="1"/>
    <col min="3" max="3" width="11.21875" style="420" bestFit="1" customWidth="1"/>
    <col min="4" max="4" width="17.77734375" style="605" bestFit="1" customWidth="1"/>
    <col min="5" max="5" width="10.77734375" style="420" customWidth="1"/>
    <col min="6" max="6" width="26.44140625" style="420" bestFit="1" customWidth="1"/>
    <col min="7" max="7" width="14.21875" style="420" bestFit="1" customWidth="1"/>
    <col min="8" max="9" width="20.21875" style="420" customWidth="1"/>
    <col min="10" max="16384" width="9.21875" style="420"/>
  </cols>
  <sheetData>
    <row r="4" spans="1:9" x14ac:dyDescent="0.3">
      <c r="F4" s="422" t="s">
        <v>1732</v>
      </c>
      <c r="G4" s="427">
        <f>MAX(B2069:B2305)</f>
        <v>65.77</v>
      </c>
      <c r="H4" s="907" t="s">
        <v>2881</v>
      </c>
      <c r="I4" s="634">
        <v>42989</v>
      </c>
    </row>
    <row r="5" spans="1:9" ht="18" x14ac:dyDescent="0.35">
      <c r="A5" s="906" t="s">
        <v>1781</v>
      </c>
      <c r="B5" s="906"/>
      <c r="C5" s="906"/>
      <c r="F5" s="422" t="s">
        <v>1733</v>
      </c>
      <c r="G5" s="427">
        <f>MIN(B2069:B2305)</f>
        <v>23.07</v>
      </c>
      <c r="H5" s="907"/>
      <c r="I5" s="634">
        <v>42979</v>
      </c>
    </row>
    <row r="6" spans="1:9" x14ac:dyDescent="0.3">
      <c r="F6" s="422" t="s">
        <v>1734</v>
      </c>
      <c r="G6" s="602">
        <f>Multiples!D24*B2305</f>
        <v>485220677.40000004</v>
      </c>
      <c r="H6" s="907"/>
    </row>
    <row r="7" spans="1:9" x14ac:dyDescent="0.3">
      <c r="A7" s="594"/>
      <c r="B7" s="421"/>
      <c r="C7" s="421"/>
      <c r="F7" s="422" t="s">
        <v>1735</v>
      </c>
      <c r="G7" s="602">
        <f>AVERAGE(D2069:D2305)</f>
        <v>547179.56869198289</v>
      </c>
      <c r="H7" s="907"/>
    </row>
    <row r="8" spans="1:9" x14ac:dyDescent="0.3">
      <c r="F8" s="422" t="s">
        <v>2883</v>
      </c>
      <c r="G8" s="607">
        <f>G7/G6</f>
        <v>1.1276921907450081E-3</v>
      </c>
      <c r="H8" s="606"/>
    </row>
    <row r="9" spans="1:9" x14ac:dyDescent="0.3">
      <c r="F9" s="422" t="s">
        <v>2884</v>
      </c>
      <c r="G9" s="427">
        <f>AVERAGE(B2069:B2305)</f>
        <v>39.967383966244732</v>
      </c>
    </row>
    <row r="10" spans="1:9" x14ac:dyDescent="0.3">
      <c r="A10" s="595" t="s">
        <v>482</v>
      </c>
      <c r="B10" s="422" t="s">
        <v>519</v>
      </c>
      <c r="C10" s="422" t="s">
        <v>2885</v>
      </c>
      <c r="D10" s="604" t="s">
        <v>2882</v>
      </c>
      <c r="E10" s="603"/>
      <c r="F10" s="422">
        <v>9</v>
      </c>
      <c r="G10" s="427">
        <f>AVERAGE(B2127:B2305)</f>
        <v>44.192458100558667</v>
      </c>
    </row>
    <row r="11" spans="1:9" x14ac:dyDescent="0.3">
      <c r="A11" s="635" t="s">
        <v>2976</v>
      </c>
      <c r="B11" s="635">
        <v>42.5</v>
      </c>
      <c r="C11" s="636" t="s">
        <v>776</v>
      </c>
      <c r="D11" s="636">
        <v>0</v>
      </c>
      <c r="E11" s="603"/>
      <c r="F11" s="422">
        <v>6</v>
      </c>
      <c r="G11" s="427">
        <f>AVERAGE(B2184:B2305)</f>
        <v>49.032540983606566</v>
      </c>
    </row>
    <row r="12" spans="1:9" x14ac:dyDescent="0.3">
      <c r="A12" s="635" t="s">
        <v>2975</v>
      </c>
      <c r="B12" s="635">
        <v>42.5</v>
      </c>
      <c r="C12" s="636" t="s">
        <v>776</v>
      </c>
      <c r="D12" s="636">
        <v>0</v>
      </c>
      <c r="E12" s="603"/>
      <c r="F12" s="422">
        <v>3</v>
      </c>
      <c r="G12" s="427">
        <f>AVERAGE(B2244:B2305)</f>
        <v>48.071774193548386</v>
      </c>
      <c r="H12" s="601"/>
    </row>
    <row r="13" spans="1:9" x14ac:dyDescent="0.3">
      <c r="A13" s="635" t="s">
        <v>2974</v>
      </c>
      <c r="B13" s="635">
        <v>72.5</v>
      </c>
      <c r="C13" s="636" t="s">
        <v>776</v>
      </c>
      <c r="D13" s="636">
        <v>0</v>
      </c>
      <c r="E13" s="603"/>
      <c r="F13" s="599"/>
      <c r="G13" s="600"/>
      <c r="H13" s="601"/>
    </row>
    <row r="14" spans="1:9" x14ac:dyDescent="0.3">
      <c r="A14" s="635" t="s">
        <v>2973</v>
      </c>
      <c r="B14" s="635">
        <v>73.010000000000005</v>
      </c>
      <c r="C14" s="636" t="s">
        <v>776</v>
      </c>
      <c r="D14" s="636">
        <v>0</v>
      </c>
      <c r="E14" s="603"/>
      <c r="F14" s="599"/>
      <c r="G14" s="600"/>
      <c r="H14" s="601"/>
    </row>
    <row r="15" spans="1:9" x14ac:dyDescent="0.3">
      <c r="A15" s="635" t="s">
        <v>2972</v>
      </c>
      <c r="B15" s="635">
        <v>73.010000000000005</v>
      </c>
      <c r="C15" s="636" t="s">
        <v>776</v>
      </c>
      <c r="D15" s="636">
        <v>0</v>
      </c>
      <c r="E15" s="603"/>
      <c r="F15" s="599"/>
      <c r="G15" s="600"/>
      <c r="H15" s="601"/>
    </row>
    <row r="16" spans="1:9" x14ac:dyDescent="0.3">
      <c r="A16" s="635" t="s">
        <v>2971</v>
      </c>
      <c r="B16" s="635">
        <v>73.5</v>
      </c>
      <c r="C16" s="636" t="s">
        <v>776</v>
      </c>
      <c r="D16" s="636">
        <v>0</v>
      </c>
      <c r="E16" s="603"/>
      <c r="F16" s="599"/>
      <c r="G16" s="600"/>
      <c r="H16" s="601"/>
    </row>
    <row r="17" spans="1:8" x14ac:dyDescent="0.3">
      <c r="A17" s="635" t="s">
        <v>2970</v>
      </c>
      <c r="B17" s="635">
        <v>72.83</v>
      </c>
      <c r="C17" s="636">
        <v>340</v>
      </c>
      <c r="D17" s="636">
        <v>24762.2</v>
      </c>
      <c r="E17" s="603"/>
      <c r="F17" s="599"/>
      <c r="G17" s="600"/>
      <c r="H17" s="601"/>
    </row>
    <row r="18" spans="1:8" x14ac:dyDescent="0.3">
      <c r="A18" s="635" t="s">
        <v>1718</v>
      </c>
      <c r="B18" s="635">
        <v>71</v>
      </c>
      <c r="C18" s="636">
        <v>140</v>
      </c>
      <c r="D18" s="636">
        <v>9940</v>
      </c>
      <c r="E18" s="603"/>
      <c r="F18" s="599"/>
      <c r="G18" s="600"/>
      <c r="H18" s="601"/>
    </row>
    <row r="19" spans="1:8" x14ac:dyDescent="0.3">
      <c r="A19" s="635" t="s">
        <v>1717</v>
      </c>
      <c r="B19" s="635">
        <v>70.5</v>
      </c>
      <c r="C19" s="636">
        <v>100</v>
      </c>
      <c r="D19" s="636">
        <v>7050</v>
      </c>
      <c r="E19" s="603"/>
      <c r="F19" s="599"/>
      <c r="G19" s="600"/>
      <c r="H19" s="601"/>
    </row>
    <row r="20" spans="1:8" x14ac:dyDescent="0.3">
      <c r="A20" s="635" t="s">
        <v>1716</v>
      </c>
      <c r="B20" s="635">
        <v>70.5</v>
      </c>
      <c r="C20" s="636">
        <v>20</v>
      </c>
      <c r="D20" s="636">
        <v>1410</v>
      </c>
      <c r="E20" s="603"/>
      <c r="F20" s="599"/>
      <c r="G20" s="600"/>
      <c r="H20" s="601"/>
    </row>
    <row r="21" spans="1:8" x14ac:dyDescent="0.3">
      <c r="A21" s="635" t="s">
        <v>1715</v>
      </c>
      <c r="B21" s="635">
        <v>70.5</v>
      </c>
      <c r="C21" s="636">
        <v>45890</v>
      </c>
      <c r="D21" s="636">
        <v>3235245</v>
      </c>
      <c r="E21" s="603"/>
      <c r="F21" s="599"/>
      <c r="G21" s="600"/>
      <c r="H21" s="601"/>
    </row>
    <row r="22" spans="1:8" x14ac:dyDescent="0.3">
      <c r="A22" s="635" t="s">
        <v>1714</v>
      </c>
      <c r="B22" s="635">
        <v>70.5</v>
      </c>
      <c r="C22" s="636">
        <v>16</v>
      </c>
      <c r="D22" s="636">
        <v>1128</v>
      </c>
      <c r="E22" s="603"/>
      <c r="F22" s="599"/>
      <c r="G22" s="600"/>
      <c r="H22" s="601"/>
    </row>
    <row r="23" spans="1:8" x14ac:dyDescent="0.3">
      <c r="A23" s="635" t="s">
        <v>1713</v>
      </c>
      <c r="B23" s="635">
        <v>70.5</v>
      </c>
      <c r="C23" s="636">
        <v>1000</v>
      </c>
      <c r="D23" s="636">
        <v>70500</v>
      </c>
      <c r="E23" s="603"/>
      <c r="F23" s="599"/>
      <c r="G23" s="600"/>
      <c r="H23" s="601"/>
    </row>
    <row r="24" spans="1:8" x14ac:dyDescent="0.3">
      <c r="A24" s="635" t="s">
        <v>1712</v>
      </c>
      <c r="B24" s="635">
        <v>68.5</v>
      </c>
      <c r="C24" s="636">
        <v>100</v>
      </c>
      <c r="D24" s="636">
        <v>6850</v>
      </c>
      <c r="E24" s="603"/>
      <c r="F24" s="599"/>
      <c r="G24" s="600"/>
      <c r="H24" s="601"/>
    </row>
    <row r="25" spans="1:8" x14ac:dyDescent="0.3">
      <c r="A25" s="635" t="s">
        <v>1711</v>
      </c>
      <c r="B25" s="635">
        <v>68.5</v>
      </c>
      <c r="C25" s="636">
        <v>40</v>
      </c>
      <c r="D25" s="636">
        <v>2740</v>
      </c>
      <c r="E25" s="603"/>
      <c r="F25" s="599"/>
      <c r="G25" s="600"/>
      <c r="H25" s="601"/>
    </row>
    <row r="26" spans="1:8" x14ac:dyDescent="0.3">
      <c r="A26" s="635" t="s">
        <v>1710</v>
      </c>
      <c r="B26" s="635">
        <v>70.22</v>
      </c>
      <c r="C26" s="636">
        <v>460</v>
      </c>
      <c r="D26" s="636">
        <v>32301.200000000001</v>
      </c>
      <c r="E26" s="603"/>
      <c r="F26" s="599"/>
      <c r="G26" s="600"/>
      <c r="H26" s="601"/>
    </row>
    <row r="27" spans="1:8" x14ac:dyDescent="0.3">
      <c r="A27" s="635" t="s">
        <v>1709</v>
      </c>
      <c r="B27" s="635">
        <v>67</v>
      </c>
      <c r="C27" s="636">
        <v>200</v>
      </c>
      <c r="D27" s="636">
        <v>13400</v>
      </c>
      <c r="E27" s="603"/>
      <c r="F27" s="599"/>
      <c r="G27" s="600"/>
      <c r="H27" s="601"/>
    </row>
    <row r="28" spans="1:8" x14ac:dyDescent="0.3">
      <c r="A28" s="635" t="s">
        <v>1708</v>
      </c>
      <c r="B28" s="635">
        <v>67</v>
      </c>
      <c r="C28" s="636">
        <v>160</v>
      </c>
      <c r="D28" s="636">
        <v>10720</v>
      </c>
      <c r="E28" s="603"/>
      <c r="F28" s="599"/>
      <c r="G28" s="600"/>
      <c r="H28" s="601"/>
    </row>
    <row r="29" spans="1:8" x14ac:dyDescent="0.3">
      <c r="A29" s="635" t="s">
        <v>1707</v>
      </c>
      <c r="B29" s="635">
        <v>67</v>
      </c>
      <c r="C29" s="636">
        <v>74</v>
      </c>
      <c r="D29" s="636">
        <v>4958</v>
      </c>
      <c r="E29" s="603"/>
      <c r="F29" s="599"/>
      <c r="G29" s="600"/>
      <c r="H29" s="601"/>
    </row>
    <row r="30" spans="1:8" x14ac:dyDescent="0.3">
      <c r="A30" s="635" t="s">
        <v>1706</v>
      </c>
      <c r="B30" s="635">
        <v>67</v>
      </c>
      <c r="C30" s="636">
        <v>16</v>
      </c>
      <c r="D30" s="636">
        <v>1072</v>
      </c>
      <c r="E30" s="603"/>
      <c r="F30" s="599"/>
      <c r="G30" s="600"/>
      <c r="H30" s="601"/>
    </row>
    <row r="31" spans="1:8" x14ac:dyDescent="0.3">
      <c r="A31" s="635" t="s">
        <v>1705</v>
      </c>
      <c r="B31" s="635">
        <v>67</v>
      </c>
      <c r="C31" s="636">
        <v>30</v>
      </c>
      <c r="D31" s="636">
        <v>2010</v>
      </c>
      <c r="E31" s="603"/>
      <c r="F31" s="599"/>
      <c r="G31" s="600"/>
      <c r="H31" s="601"/>
    </row>
    <row r="32" spans="1:8" x14ac:dyDescent="0.3">
      <c r="A32" s="635" t="s">
        <v>1704</v>
      </c>
      <c r="B32" s="635">
        <v>67</v>
      </c>
      <c r="C32" s="636">
        <v>60</v>
      </c>
      <c r="D32" s="636">
        <v>4020</v>
      </c>
      <c r="E32" s="603"/>
      <c r="F32" s="599"/>
      <c r="G32" s="600"/>
      <c r="H32" s="601"/>
    </row>
    <row r="33" spans="1:8" x14ac:dyDescent="0.3">
      <c r="A33" s="635" t="s">
        <v>1703</v>
      </c>
      <c r="B33" s="635">
        <v>67</v>
      </c>
      <c r="C33" s="636">
        <v>8</v>
      </c>
      <c r="D33" s="636">
        <v>536</v>
      </c>
      <c r="E33" s="603"/>
      <c r="F33" s="599"/>
      <c r="G33" s="600"/>
      <c r="H33" s="601"/>
    </row>
    <row r="34" spans="1:8" x14ac:dyDescent="0.3">
      <c r="A34" s="635" t="s">
        <v>1702</v>
      </c>
      <c r="B34" s="635">
        <v>67</v>
      </c>
      <c r="C34" s="636">
        <v>267</v>
      </c>
      <c r="D34" s="636">
        <v>17889</v>
      </c>
      <c r="E34" s="603"/>
      <c r="F34" s="599"/>
      <c r="G34" s="600"/>
      <c r="H34" s="601"/>
    </row>
    <row r="35" spans="1:8" x14ac:dyDescent="0.3">
      <c r="A35" s="635" t="s">
        <v>1701</v>
      </c>
      <c r="B35" s="635">
        <v>67</v>
      </c>
      <c r="C35" s="636">
        <v>2</v>
      </c>
      <c r="D35" s="636">
        <v>134</v>
      </c>
      <c r="E35" s="603"/>
    </row>
    <row r="36" spans="1:8" x14ac:dyDescent="0.3">
      <c r="A36" s="635" t="s">
        <v>1700</v>
      </c>
      <c r="B36" s="635">
        <v>67</v>
      </c>
      <c r="C36" s="636">
        <v>36</v>
      </c>
      <c r="D36" s="636">
        <v>2412</v>
      </c>
      <c r="E36" s="603"/>
    </row>
    <row r="37" spans="1:8" x14ac:dyDescent="0.3">
      <c r="A37" s="635" t="s">
        <v>1699</v>
      </c>
      <c r="B37" s="635">
        <v>67.010000000000005</v>
      </c>
      <c r="C37" s="636">
        <v>208</v>
      </c>
      <c r="D37" s="636">
        <v>13938.08</v>
      </c>
      <c r="E37" s="603"/>
    </row>
    <row r="38" spans="1:8" x14ac:dyDescent="0.3">
      <c r="A38" s="635" t="s">
        <v>1698</v>
      </c>
      <c r="B38" s="635">
        <v>68</v>
      </c>
      <c r="C38" s="636">
        <v>133</v>
      </c>
      <c r="D38" s="636">
        <v>9044</v>
      </c>
      <c r="E38" s="603"/>
    </row>
    <row r="39" spans="1:8" x14ac:dyDescent="0.3">
      <c r="A39" s="635" t="s">
        <v>1697</v>
      </c>
      <c r="B39" s="635">
        <v>68</v>
      </c>
      <c r="C39" s="636">
        <v>66</v>
      </c>
      <c r="D39" s="636">
        <v>4488</v>
      </c>
      <c r="E39" s="603"/>
    </row>
    <row r="40" spans="1:8" x14ac:dyDescent="0.3">
      <c r="A40" s="635" t="s">
        <v>1696</v>
      </c>
      <c r="B40" s="635">
        <v>68</v>
      </c>
      <c r="C40" s="636">
        <v>8</v>
      </c>
      <c r="D40" s="636">
        <v>544</v>
      </c>
      <c r="E40" s="603"/>
    </row>
    <row r="41" spans="1:8" x14ac:dyDescent="0.3">
      <c r="A41" s="635" t="s">
        <v>1695</v>
      </c>
      <c r="B41" s="635">
        <v>68</v>
      </c>
      <c r="C41" s="636">
        <v>30</v>
      </c>
      <c r="D41" s="636">
        <v>2040</v>
      </c>
      <c r="E41" s="603"/>
    </row>
    <row r="42" spans="1:8" x14ac:dyDescent="0.3">
      <c r="A42" s="635" t="s">
        <v>1694</v>
      </c>
      <c r="B42" s="635">
        <v>68.010000000000005</v>
      </c>
      <c r="C42" s="636">
        <v>485</v>
      </c>
      <c r="D42" s="636">
        <v>32984.850000000013</v>
      </c>
      <c r="E42" s="603"/>
    </row>
    <row r="43" spans="1:8" x14ac:dyDescent="0.3">
      <c r="A43" s="635" t="s">
        <v>1693</v>
      </c>
      <c r="B43" s="635">
        <v>68.010000000000005</v>
      </c>
      <c r="C43" s="636">
        <v>200</v>
      </c>
      <c r="D43" s="636">
        <v>13602</v>
      </c>
      <c r="E43" s="603"/>
    </row>
    <row r="44" spans="1:8" x14ac:dyDescent="0.3">
      <c r="A44" s="635" t="s">
        <v>1692</v>
      </c>
      <c r="B44" s="635">
        <v>68</v>
      </c>
      <c r="C44" s="636">
        <v>266</v>
      </c>
      <c r="D44" s="636">
        <v>18088</v>
      </c>
      <c r="E44" s="603"/>
    </row>
    <row r="45" spans="1:8" x14ac:dyDescent="0.3">
      <c r="A45" s="635" t="s">
        <v>1691</v>
      </c>
      <c r="B45" s="635">
        <v>68</v>
      </c>
      <c r="C45" s="636">
        <v>8</v>
      </c>
      <c r="D45" s="636">
        <v>544</v>
      </c>
      <c r="E45" s="603"/>
    </row>
    <row r="46" spans="1:8" x14ac:dyDescent="0.3">
      <c r="A46" s="635" t="s">
        <v>1690</v>
      </c>
      <c r="B46" s="635">
        <v>68</v>
      </c>
      <c r="C46" s="636">
        <v>6</v>
      </c>
      <c r="D46" s="636">
        <v>408</v>
      </c>
      <c r="E46" s="603"/>
    </row>
    <row r="47" spans="1:8" x14ac:dyDescent="0.3">
      <c r="A47" s="635" t="s">
        <v>1689</v>
      </c>
      <c r="B47" s="635">
        <v>68.040000000000006</v>
      </c>
      <c r="C47" s="636">
        <v>157</v>
      </c>
      <c r="D47" s="636">
        <v>10682.28</v>
      </c>
      <c r="E47" s="603"/>
    </row>
    <row r="48" spans="1:8" x14ac:dyDescent="0.3">
      <c r="A48" s="635" t="s">
        <v>1688</v>
      </c>
      <c r="B48" s="635">
        <v>68.040000000000006</v>
      </c>
      <c r="C48" s="636">
        <v>8</v>
      </c>
      <c r="D48" s="636">
        <v>544.32000000000005</v>
      </c>
      <c r="E48" s="603"/>
    </row>
    <row r="49" spans="1:5" x14ac:dyDescent="0.3">
      <c r="A49" s="635" t="s">
        <v>1687</v>
      </c>
      <c r="B49" s="635">
        <v>71</v>
      </c>
      <c r="C49" s="636">
        <v>249</v>
      </c>
      <c r="D49" s="636">
        <v>17679</v>
      </c>
      <c r="E49" s="603"/>
    </row>
    <row r="50" spans="1:5" x14ac:dyDescent="0.3">
      <c r="A50" s="635" t="s">
        <v>1686</v>
      </c>
      <c r="B50" s="635">
        <v>71</v>
      </c>
      <c r="C50" s="636">
        <v>3</v>
      </c>
      <c r="D50" s="636">
        <v>213</v>
      </c>
      <c r="E50" s="603"/>
    </row>
    <row r="51" spans="1:5" x14ac:dyDescent="0.3">
      <c r="A51" s="635" t="s">
        <v>1685</v>
      </c>
      <c r="B51" s="635">
        <v>74.06</v>
      </c>
      <c r="C51" s="636">
        <v>260</v>
      </c>
      <c r="D51" s="636">
        <v>19255.599999999999</v>
      </c>
      <c r="E51" s="603"/>
    </row>
    <row r="52" spans="1:5" x14ac:dyDescent="0.3">
      <c r="A52" s="635" t="s">
        <v>1684</v>
      </c>
      <c r="B52" s="635">
        <v>77.760000000000005</v>
      </c>
      <c r="C52" s="636">
        <v>100</v>
      </c>
      <c r="D52" s="636">
        <v>7776.0000000000009</v>
      </c>
      <c r="E52" s="603"/>
    </row>
    <row r="53" spans="1:5" x14ac:dyDescent="0.3">
      <c r="A53" s="635" t="s">
        <v>1683</v>
      </c>
      <c r="B53" s="635">
        <v>77.760000000000005</v>
      </c>
      <c r="C53" s="636">
        <v>52</v>
      </c>
      <c r="D53" s="636">
        <v>4043.52</v>
      </c>
      <c r="E53" s="603"/>
    </row>
    <row r="54" spans="1:5" x14ac:dyDescent="0.3">
      <c r="A54" s="635" t="s">
        <v>1682</v>
      </c>
      <c r="B54" s="635">
        <v>77.760000000000005</v>
      </c>
      <c r="C54" s="636">
        <v>16</v>
      </c>
      <c r="D54" s="636">
        <v>1244.1600000000001</v>
      </c>
      <c r="E54" s="603"/>
    </row>
    <row r="55" spans="1:5" x14ac:dyDescent="0.3">
      <c r="A55" s="635" t="s">
        <v>1681</v>
      </c>
      <c r="B55" s="635">
        <v>77.760000000000005</v>
      </c>
      <c r="C55" s="636">
        <v>68</v>
      </c>
      <c r="D55" s="636">
        <v>5287.68</v>
      </c>
      <c r="E55" s="603"/>
    </row>
    <row r="56" spans="1:5" x14ac:dyDescent="0.3">
      <c r="A56" s="635" t="s">
        <v>1680</v>
      </c>
      <c r="B56" s="635">
        <v>80.47</v>
      </c>
      <c r="C56" s="636">
        <v>167</v>
      </c>
      <c r="D56" s="636">
        <v>13438.49</v>
      </c>
      <c r="E56" s="603"/>
    </row>
    <row r="57" spans="1:5" x14ac:dyDescent="0.3">
      <c r="A57" s="635" t="s">
        <v>1679</v>
      </c>
      <c r="B57" s="635">
        <v>85</v>
      </c>
      <c r="C57" s="636">
        <v>470</v>
      </c>
      <c r="D57" s="636">
        <v>39950</v>
      </c>
      <c r="E57" s="603"/>
    </row>
    <row r="58" spans="1:5" x14ac:dyDescent="0.3">
      <c r="A58" s="635" t="s">
        <v>1678</v>
      </c>
      <c r="B58" s="635">
        <v>85</v>
      </c>
      <c r="C58" s="636">
        <v>49</v>
      </c>
      <c r="D58" s="636">
        <v>4165</v>
      </c>
      <c r="E58" s="603"/>
    </row>
    <row r="59" spans="1:5" x14ac:dyDescent="0.3">
      <c r="A59" s="635" t="s">
        <v>1677</v>
      </c>
      <c r="B59" s="635">
        <v>80.900000000000006</v>
      </c>
      <c r="C59" s="636">
        <v>100</v>
      </c>
      <c r="D59" s="636">
        <v>8090.0000000000009</v>
      </c>
      <c r="E59" s="603"/>
    </row>
    <row r="60" spans="1:5" x14ac:dyDescent="0.3">
      <c r="A60" s="635" t="s">
        <v>1676</v>
      </c>
      <c r="B60" s="635">
        <v>80.900000000000006</v>
      </c>
      <c r="C60" s="636">
        <v>20</v>
      </c>
      <c r="D60" s="636">
        <v>1618</v>
      </c>
      <c r="E60" s="603"/>
    </row>
    <row r="61" spans="1:5" x14ac:dyDescent="0.3">
      <c r="A61" s="635" t="s">
        <v>1675</v>
      </c>
      <c r="B61" s="635">
        <v>82</v>
      </c>
      <c r="C61" s="636">
        <v>14</v>
      </c>
      <c r="D61" s="636">
        <v>1148</v>
      </c>
      <c r="E61" s="603"/>
    </row>
    <row r="62" spans="1:5" x14ac:dyDescent="0.3">
      <c r="A62" s="635" t="s">
        <v>1674</v>
      </c>
      <c r="B62" s="635">
        <v>82</v>
      </c>
      <c r="C62" s="636">
        <v>60</v>
      </c>
      <c r="D62" s="636">
        <v>4920</v>
      </c>
      <c r="E62" s="603"/>
    </row>
    <row r="63" spans="1:5" x14ac:dyDescent="0.3">
      <c r="A63" s="635" t="s">
        <v>1673</v>
      </c>
      <c r="B63" s="635">
        <v>82</v>
      </c>
      <c r="C63" s="636">
        <v>24</v>
      </c>
      <c r="D63" s="636">
        <v>1968</v>
      </c>
      <c r="E63" s="603"/>
    </row>
    <row r="64" spans="1:5" x14ac:dyDescent="0.3">
      <c r="A64" s="635" t="s">
        <v>1672</v>
      </c>
      <c r="B64" s="635">
        <v>82</v>
      </c>
      <c r="C64" s="636">
        <v>40</v>
      </c>
      <c r="D64" s="636">
        <v>3280</v>
      </c>
      <c r="E64" s="603"/>
    </row>
    <row r="65" spans="1:5" x14ac:dyDescent="0.3">
      <c r="A65" s="635" t="s">
        <v>1671</v>
      </c>
      <c r="B65" s="635">
        <v>81</v>
      </c>
      <c r="C65" s="636">
        <v>1000</v>
      </c>
      <c r="D65" s="636">
        <v>81000</v>
      </c>
      <c r="E65" s="603"/>
    </row>
    <row r="66" spans="1:5" x14ac:dyDescent="0.3">
      <c r="A66" s="635" t="s">
        <v>1670</v>
      </c>
      <c r="B66" s="635">
        <v>81</v>
      </c>
      <c r="C66" s="636">
        <v>33</v>
      </c>
      <c r="D66" s="636">
        <v>2673</v>
      </c>
      <c r="E66" s="603"/>
    </row>
    <row r="67" spans="1:5" x14ac:dyDescent="0.3">
      <c r="A67" s="635" t="s">
        <v>1669</v>
      </c>
      <c r="B67" s="635">
        <v>80.260000000000005</v>
      </c>
      <c r="C67" s="636">
        <v>1055</v>
      </c>
      <c r="D67" s="636">
        <v>84674.3</v>
      </c>
      <c r="E67" s="603"/>
    </row>
    <row r="68" spans="1:5" x14ac:dyDescent="0.3">
      <c r="A68" s="635" t="s">
        <v>1668</v>
      </c>
      <c r="B68" s="635">
        <v>80.05</v>
      </c>
      <c r="C68" s="636">
        <v>602</v>
      </c>
      <c r="D68" s="636">
        <v>48190.1</v>
      </c>
      <c r="E68" s="603"/>
    </row>
    <row r="69" spans="1:5" x14ac:dyDescent="0.3">
      <c r="A69" s="635" t="s">
        <v>1667</v>
      </c>
      <c r="B69" s="635">
        <v>79.78</v>
      </c>
      <c r="C69" s="636">
        <v>166</v>
      </c>
      <c r="D69" s="636">
        <v>13243.48</v>
      </c>
      <c r="E69" s="603"/>
    </row>
    <row r="70" spans="1:5" x14ac:dyDescent="0.3">
      <c r="A70" s="635" t="s">
        <v>1666</v>
      </c>
      <c r="B70" s="635">
        <v>80</v>
      </c>
      <c r="C70" s="636">
        <v>650</v>
      </c>
      <c r="D70" s="636">
        <v>52000</v>
      </c>
      <c r="E70" s="603"/>
    </row>
    <row r="71" spans="1:5" x14ac:dyDescent="0.3">
      <c r="A71" s="635" t="s">
        <v>1665</v>
      </c>
      <c r="B71" s="635">
        <v>79.77</v>
      </c>
      <c r="C71" s="636">
        <v>108</v>
      </c>
      <c r="D71" s="636">
        <v>8615.16</v>
      </c>
      <c r="E71" s="603"/>
    </row>
    <row r="72" spans="1:5" x14ac:dyDescent="0.3">
      <c r="A72" s="635" t="s">
        <v>1664</v>
      </c>
      <c r="B72" s="635">
        <v>79.77</v>
      </c>
      <c r="C72" s="636">
        <v>40</v>
      </c>
      <c r="D72" s="636">
        <v>3190.8</v>
      </c>
      <c r="E72" s="603"/>
    </row>
    <row r="73" spans="1:5" x14ac:dyDescent="0.3">
      <c r="A73" s="635" t="s">
        <v>1663</v>
      </c>
      <c r="B73" s="635">
        <v>79.77</v>
      </c>
      <c r="C73" s="636">
        <v>52</v>
      </c>
      <c r="D73" s="636">
        <v>4148.04</v>
      </c>
      <c r="E73" s="603"/>
    </row>
    <row r="74" spans="1:5" x14ac:dyDescent="0.3">
      <c r="A74" s="635" t="s">
        <v>1662</v>
      </c>
      <c r="B74" s="635">
        <v>79.77</v>
      </c>
      <c r="C74" s="636">
        <v>65</v>
      </c>
      <c r="D74" s="636">
        <v>5185.05</v>
      </c>
      <c r="E74" s="603"/>
    </row>
    <row r="75" spans="1:5" x14ac:dyDescent="0.3">
      <c r="A75" s="635" t="s">
        <v>1661</v>
      </c>
      <c r="B75" s="635">
        <v>79.77</v>
      </c>
      <c r="C75" s="636">
        <v>48</v>
      </c>
      <c r="D75" s="636">
        <v>3828.96</v>
      </c>
      <c r="E75" s="603"/>
    </row>
    <row r="76" spans="1:5" x14ac:dyDescent="0.3">
      <c r="A76" s="635" t="s">
        <v>1660</v>
      </c>
      <c r="B76" s="635">
        <v>76.41</v>
      </c>
      <c r="C76" s="636">
        <v>116</v>
      </c>
      <c r="D76" s="636">
        <v>8863.56</v>
      </c>
      <c r="E76" s="603"/>
    </row>
    <row r="77" spans="1:5" x14ac:dyDescent="0.3">
      <c r="A77" s="635" t="s">
        <v>1659</v>
      </c>
      <c r="B77" s="635">
        <v>76.41</v>
      </c>
      <c r="C77" s="636">
        <v>18</v>
      </c>
      <c r="D77" s="636">
        <v>1375.38</v>
      </c>
      <c r="E77" s="603"/>
    </row>
    <row r="78" spans="1:5" x14ac:dyDescent="0.3">
      <c r="A78" s="635" t="s">
        <v>1658</v>
      </c>
      <c r="B78" s="635">
        <v>73.3</v>
      </c>
      <c r="C78" s="636">
        <v>285</v>
      </c>
      <c r="D78" s="636">
        <v>20890.5</v>
      </c>
      <c r="E78" s="603"/>
    </row>
    <row r="79" spans="1:5" x14ac:dyDescent="0.3">
      <c r="A79" s="635" t="s">
        <v>1657</v>
      </c>
      <c r="B79" s="635">
        <v>71.42</v>
      </c>
      <c r="C79" s="636">
        <v>459</v>
      </c>
      <c r="D79" s="636">
        <v>32781.78</v>
      </c>
      <c r="E79" s="603"/>
    </row>
    <row r="80" spans="1:5" x14ac:dyDescent="0.3">
      <c r="A80" s="635" t="s">
        <v>1656</v>
      </c>
      <c r="B80" s="635">
        <v>71.42</v>
      </c>
      <c r="C80" s="636">
        <v>1</v>
      </c>
      <c r="D80" s="636">
        <v>71.42</v>
      </c>
      <c r="E80" s="603"/>
    </row>
    <row r="81" spans="1:5" x14ac:dyDescent="0.3">
      <c r="A81" s="635" t="s">
        <v>1655</v>
      </c>
      <c r="B81" s="635">
        <v>71.42</v>
      </c>
      <c r="C81" s="636">
        <v>56</v>
      </c>
      <c r="D81" s="636">
        <v>3999.52</v>
      </c>
      <c r="E81" s="603"/>
    </row>
    <row r="82" spans="1:5" x14ac:dyDescent="0.3">
      <c r="A82" s="635" t="s">
        <v>1654</v>
      </c>
      <c r="B82" s="635">
        <v>73</v>
      </c>
      <c r="C82" s="636">
        <v>231</v>
      </c>
      <c r="D82" s="636">
        <v>16863</v>
      </c>
      <c r="E82" s="603"/>
    </row>
    <row r="83" spans="1:5" x14ac:dyDescent="0.3">
      <c r="A83" s="635" t="s">
        <v>1653</v>
      </c>
      <c r="B83" s="635">
        <v>73</v>
      </c>
      <c r="C83" s="636">
        <v>10</v>
      </c>
      <c r="D83" s="636">
        <v>730</v>
      </c>
      <c r="E83" s="603"/>
    </row>
    <row r="84" spans="1:5" x14ac:dyDescent="0.3">
      <c r="A84" s="635" t="s">
        <v>1652</v>
      </c>
      <c r="B84" s="635">
        <v>73</v>
      </c>
      <c r="C84" s="636">
        <v>50</v>
      </c>
      <c r="D84" s="636">
        <v>3650</v>
      </c>
      <c r="E84" s="603"/>
    </row>
    <row r="85" spans="1:5" x14ac:dyDescent="0.3">
      <c r="A85" s="635" t="s">
        <v>1651</v>
      </c>
      <c r="B85" s="635">
        <v>73</v>
      </c>
      <c r="C85" s="636">
        <v>30</v>
      </c>
      <c r="D85" s="636">
        <v>2190</v>
      </c>
      <c r="E85" s="603"/>
    </row>
    <row r="86" spans="1:5" x14ac:dyDescent="0.3">
      <c r="A86" s="635" t="s">
        <v>1650</v>
      </c>
      <c r="B86" s="635">
        <v>73</v>
      </c>
      <c r="C86" s="636">
        <v>45</v>
      </c>
      <c r="D86" s="636">
        <v>3285</v>
      </c>
      <c r="E86" s="603"/>
    </row>
    <row r="87" spans="1:5" x14ac:dyDescent="0.3">
      <c r="A87" s="635" t="s">
        <v>1649</v>
      </c>
      <c r="B87" s="635">
        <v>74</v>
      </c>
      <c r="C87" s="636">
        <v>133</v>
      </c>
      <c r="D87" s="636">
        <v>9842</v>
      </c>
      <c r="E87" s="603"/>
    </row>
    <row r="88" spans="1:5" x14ac:dyDescent="0.3">
      <c r="A88" s="635" t="s">
        <v>1648</v>
      </c>
      <c r="B88" s="635">
        <v>74</v>
      </c>
      <c r="C88" s="636">
        <v>45</v>
      </c>
      <c r="D88" s="636">
        <v>3330</v>
      </c>
      <c r="E88" s="603"/>
    </row>
    <row r="89" spans="1:5" x14ac:dyDescent="0.3">
      <c r="A89" s="635" t="s">
        <v>1647</v>
      </c>
      <c r="B89" s="635">
        <v>74</v>
      </c>
      <c r="C89" s="636">
        <v>40</v>
      </c>
      <c r="D89" s="636">
        <v>2960</v>
      </c>
      <c r="E89" s="603"/>
    </row>
    <row r="90" spans="1:5" x14ac:dyDescent="0.3">
      <c r="A90" s="635" t="s">
        <v>1646</v>
      </c>
      <c r="B90" s="635">
        <v>72.2</v>
      </c>
      <c r="C90" s="636">
        <v>183</v>
      </c>
      <c r="D90" s="636">
        <v>13212.6</v>
      </c>
      <c r="E90" s="603"/>
    </row>
    <row r="91" spans="1:5" x14ac:dyDescent="0.3">
      <c r="A91" s="635" t="s">
        <v>1645</v>
      </c>
      <c r="B91" s="635">
        <v>71.37</v>
      </c>
      <c r="C91" s="636">
        <v>3615</v>
      </c>
      <c r="D91" s="636">
        <v>258002.55</v>
      </c>
      <c r="E91" s="603"/>
    </row>
    <row r="92" spans="1:5" x14ac:dyDescent="0.3">
      <c r="A92" s="635" t="s">
        <v>1644</v>
      </c>
      <c r="B92" s="635">
        <v>72.099999999999994</v>
      </c>
      <c r="C92" s="636">
        <v>1008</v>
      </c>
      <c r="D92" s="636">
        <v>72676.799999999988</v>
      </c>
      <c r="E92" s="603"/>
    </row>
    <row r="93" spans="1:5" x14ac:dyDescent="0.3">
      <c r="A93" s="635" t="s">
        <v>1643</v>
      </c>
      <c r="B93" s="635">
        <v>72.099999999999994</v>
      </c>
      <c r="C93" s="636">
        <v>42</v>
      </c>
      <c r="D93" s="636">
        <v>3028.2</v>
      </c>
      <c r="E93" s="603"/>
    </row>
    <row r="94" spans="1:5" x14ac:dyDescent="0.3">
      <c r="A94" s="635" t="s">
        <v>1642</v>
      </c>
      <c r="B94" s="635">
        <v>72.099999999999994</v>
      </c>
      <c r="C94" s="636">
        <v>49</v>
      </c>
      <c r="D94" s="636">
        <v>3532.9</v>
      </c>
      <c r="E94" s="603"/>
    </row>
    <row r="95" spans="1:5" x14ac:dyDescent="0.3">
      <c r="A95" s="635" t="s">
        <v>1641</v>
      </c>
      <c r="B95" s="635">
        <v>72.099999999999994</v>
      </c>
      <c r="C95" s="636">
        <v>30</v>
      </c>
      <c r="D95" s="636">
        <v>2163</v>
      </c>
      <c r="E95" s="603"/>
    </row>
    <row r="96" spans="1:5" x14ac:dyDescent="0.3">
      <c r="A96" s="635" t="s">
        <v>1640</v>
      </c>
      <c r="B96" s="635">
        <v>75.540000000000006</v>
      </c>
      <c r="C96" s="636">
        <v>151</v>
      </c>
      <c r="D96" s="636">
        <v>11406.54</v>
      </c>
      <c r="E96" s="603"/>
    </row>
    <row r="97" spans="1:5" x14ac:dyDescent="0.3">
      <c r="A97" s="635" t="s">
        <v>1639</v>
      </c>
      <c r="B97" s="635">
        <v>77.14</v>
      </c>
      <c r="C97" s="636">
        <v>600</v>
      </c>
      <c r="D97" s="636">
        <v>46284</v>
      </c>
      <c r="E97" s="603"/>
    </row>
    <row r="98" spans="1:5" x14ac:dyDescent="0.3">
      <c r="A98" s="635" t="s">
        <v>1638</v>
      </c>
      <c r="B98" s="635">
        <v>79.03</v>
      </c>
      <c r="C98" s="636">
        <v>185</v>
      </c>
      <c r="D98" s="636">
        <v>14620.55</v>
      </c>
      <c r="E98" s="603"/>
    </row>
    <row r="99" spans="1:5" x14ac:dyDescent="0.3">
      <c r="A99" s="635" t="s">
        <v>1637</v>
      </c>
      <c r="B99" s="635">
        <v>77.13</v>
      </c>
      <c r="C99" s="636">
        <v>260</v>
      </c>
      <c r="D99" s="636">
        <v>20053.8</v>
      </c>
      <c r="E99" s="603"/>
    </row>
    <row r="100" spans="1:5" x14ac:dyDescent="0.3">
      <c r="A100" s="635" t="s">
        <v>1636</v>
      </c>
      <c r="B100" s="635">
        <v>73.349999999999994</v>
      </c>
      <c r="C100" s="636">
        <v>350</v>
      </c>
      <c r="D100" s="636">
        <v>25672.5</v>
      </c>
      <c r="E100" s="603"/>
    </row>
    <row r="101" spans="1:5" x14ac:dyDescent="0.3">
      <c r="A101" s="635" t="s">
        <v>1635</v>
      </c>
      <c r="B101" s="635">
        <v>73.25</v>
      </c>
      <c r="C101" s="636">
        <v>420</v>
      </c>
      <c r="D101" s="636">
        <v>30765</v>
      </c>
      <c r="E101" s="603"/>
    </row>
    <row r="102" spans="1:5" x14ac:dyDescent="0.3">
      <c r="A102" s="635" t="s">
        <v>1634</v>
      </c>
      <c r="B102" s="635">
        <v>76.8</v>
      </c>
      <c r="C102" s="636">
        <v>100</v>
      </c>
      <c r="D102" s="636">
        <v>7680</v>
      </c>
      <c r="E102" s="603"/>
    </row>
    <row r="103" spans="1:5" x14ac:dyDescent="0.3">
      <c r="A103" s="635" t="s">
        <v>1633</v>
      </c>
      <c r="B103" s="635">
        <v>76.8</v>
      </c>
      <c r="C103" s="636">
        <v>16</v>
      </c>
      <c r="D103" s="636">
        <v>1228.8</v>
      </c>
      <c r="E103" s="603"/>
    </row>
    <row r="104" spans="1:5" x14ac:dyDescent="0.3">
      <c r="A104" s="635" t="s">
        <v>1632</v>
      </c>
      <c r="B104" s="635">
        <v>74.55</v>
      </c>
      <c r="C104" s="636">
        <v>80</v>
      </c>
      <c r="D104" s="636">
        <v>5964</v>
      </c>
      <c r="E104" s="603"/>
    </row>
    <row r="105" spans="1:5" x14ac:dyDescent="0.3">
      <c r="A105" s="635" t="s">
        <v>1631</v>
      </c>
      <c r="B105" s="635">
        <v>74.900000000000006</v>
      </c>
      <c r="C105" s="636">
        <v>200</v>
      </c>
      <c r="D105" s="636">
        <v>14980</v>
      </c>
      <c r="E105" s="603"/>
    </row>
    <row r="106" spans="1:5" x14ac:dyDescent="0.3">
      <c r="A106" s="635" t="s">
        <v>1630</v>
      </c>
      <c r="B106" s="635">
        <v>74.900000000000006</v>
      </c>
      <c r="C106" s="636">
        <v>8</v>
      </c>
      <c r="D106" s="636">
        <v>599.20000000000005</v>
      </c>
      <c r="E106" s="603"/>
    </row>
    <row r="107" spans="1:5" x14ac:dyDescent="0.3">
      <c r="A107" s="635" t="s">
        <v>1629</v>
      </c>
      <c r="B107" s="635">
        <v>74.900000000000006</v>
      </c>
      <c r="C107" s="636">
        <v>10</v>
      </c>
      <c r="D107" s="636">
        <v>749</v>
      </c>
      <c r="E107" s="603"/>
    </row>
    <row r="108" spans="1:5" x14ac:dyDescent="0.3">
      <c r="A108" s="635" t="s">
        <v>1628</v>
      </c>
      <c r="B108" s="635">
        <v>74.900000000000006</v>
      </c>
      <c r="C108" s="636">
        <v>8</v>
      </c>
      <c r="D108" s="636">
        <v>599.20000000000005</v>
      </c>
      <c r="E108" s="603"/>
    </row>
    <row r="109" spans="1:5" x14ac:dyDescent="0.3">
      <c r="A109" s="635" t="s">
        <v>1627</v>
      </c>
      <c r="B109" s="635">
        <v>74.900000000000006</v>
      </c>
      <c r="C109" s="636">
        <v>6</v>
      </c>
      <c r="D109" s="636">
        <v>449.4</v>
      </c>
      <c r="E109" s="603"/>
    </row>
    <row r="110" spans="1:5" x14ac:dyDescent="0.3">
      <c r="A110" s="635" t="s">
        <v>1626</v>
      </c>
      <c r="B110" s="635">
        <v>72.2</v>
      </c>
      <c r="C110" s="636">
        <v>205</v>
      </c>
      <c r="D110" s="636">
        <v>14801</v>
      </c>
      <c r="E110" s="603"/>
    </row>
    <row r="111" spans="1:5" x14ac:dyDescent="0.3">
      <c r="A111" s="635" t="s">
        <v>1625</v>
      </c>
      <c r="B111" s="635">
        <v>75.63</v>
      </c>
      <c r="C111" s="636">
        <v>188</v>
      </c>
      <c r="D111" s="636">
        <v>14218.44</v>
      </c>
      <c r="E111" s="603"/>
    </row>
    <row r="112" spans="1:5" x14ac:dyDescent="0.3">
      <c r="A112" s="635" t="s">
        <v>1624</v>
      </c>
      <c r="B112" s="635">
        <v>77.900000000000006</v>
      </c>
      <c r="C112" s="636">
        <v>310</v>
      </c>
      <c r="D112" s="636">
        <v>24149</v>
      </c>
      <c r="E112" s="603"/>
    </row>
    <row r="113" spans="1:5" x14ac:dyDescent="0.3">
      <c r="A113" s="635" t="s">
        <v>1623</v>
      </c>
      <c r="B113" s="635">
        <v>74.209999999999994</v>
      </c>
      <c r="C113" s="636">
        <v>540</v>
      </c>
      <c r="D113" s="636">
        <v>40073.399999999987</v>
      </c>
      <c r="E113" s="603"/>
    </row>
    <row r="114" spans="1:5" x14ac:dyDescent="0.3">
      <c r="A114" s="635" t="s">
        <v>1622</v>
      </c>
      <c r="B114" s="635">
        <v>70.510000000000005</v>
      </c>
      <c r="C114" s="636">
        <v>131</v>
      </c>
      <c r="D114" s="636">
        <v>9236.8100000000013</v>
      </c>
      <c r="E114" s="603"/>
    </row>
    <row r="115" spans="1:5" x14ac:dyDescent="0.3">
      <c r="A115" s="635" t="s">
        <v>1621</v>
      </c>
      <c r="B115" s="635">
        <v>70.510000000000005</v>
      </c>
      <c r="C115" s="636">
        <v>55</v>
      </c>
      <c r="D115" s="636">
        <v>3878.05</v>
      </c>
      <c r="E115" s="603"/>
    </row>
    <row r="116" spans="1:5" x14ac:dyDescent="0.3">
      <c r="A116" s="635" t="s">
        <v>1620</v>
      </c>
      <c r="B116" s="635">
        <v>67.7</v>
      </c>
      <c r="C116" s="636">
        <v>266</v>
      </c>
      <c r="D116" s="636">
        <v>18008.2</v>
      </c>
      <c r="E116" s="603"/>
    </row>
    <row r="117" spans="1:5" x14ac:dyDescent="0.3">
      <c r="A117" s="635" t="s">
        <v>1619</v>
      </c>
      <c r="B117" s="635">
        <v>72.13</v>
      </c>
      <c r="C117" s="636">
        <v>313</v>
      </c>
      <c r="D117" s="636">
        <v>22576.69</v>
      </c>
      <c r="E117" s="603"/>
    </row>
    <row r="118" spans="1:5" x14ac:dyDescent="0.3">
      <c r="A118" s="635" t="s">
        <v>1618</v>
      </c>
      <c r="B118" s="635">
        <v>75.709999999999994</v>
      </c>
      <c r="C118" s="636">
        <v>306</v>
      </c>
      <c r="D118" s="636">
        <v>23167.26</v>
      </c>
      <c r="E118" s="603"/>
    </row>
    <row r="119" spans="1:5" x14ac:dyDescent="0.3">
      <c r="A119" s="635" t="s">
        <v>1617</v>
      </c>
      <c r="B119" s="635">
        <v>73.08</v>
      </c>
      <c r="C119" s="636">
        <v>378</v>
      </c>
      <c r="D119" s="636">
        <v>27624.240000000002</v>
      </c>
      <c r="E119" s="603"/>
    </row>
    <row r="120" spans="1:5" x14ac:dyDescent="0.3">
      <c r="A120" s="635" t="s">
        <v>1616</v>
      </c>
      <c r="B120" s="635">
        <v>69.56</v>
      </c>
      <c r="C120" s="636">
        <v>100</v>
      </c>
      <c r="D120" s="636">
        <v>6956</v>
      </c>
      <c r="E120" s="603"/>
    </row>
    <row r="121" spans="1:5" x14ac:dyDescent="0.3">
      <c r="A121" s="635" t="s">
        <v>1615</v>
      </c>
      <c r="B121" s="635">
        <v>71.540000000000006</v>
      </c>
      <c r="C121" s="636">
        <v>339</v>
      </c>
      <c r="D121" s="636">
        <v>24252.06</v>
      </c>
      <c r="E121" s="603"/>
    </row>
    <row r="122" spans="1:5" x14ac:dyDescent="0.3">
      <c r="A122" s="635" t="s">
        <v>1614</v>
      </c>
      <c r="B122" s="635">
        <v>72.94</v>
      </c>
      <c r="C122" s="636">
        <v>274</v>
      </c>
      <c r="D122" s="636">
        <v>19985.560000000001</v>
      </c>
      <c r="E122" s="603"/>
    </row>
    <row r="123" spans="1:5" x14ac:dyDescent="0.3">
      <c r="A123" s="635" t="s">
        <v>1613</v>
      </c>
      <c r="B123" s="635">
        <v>72.94</v>
      </c>
      <c r="C123" s="636">
        <v>8</v>
      </c>
      <c r="D123" s="636">
        <v>583.52</v>
      </c>
      <c r="E123" s="603"/>
    </row>
    <row r="124" spans="1:5" x14ac:dyDescent="0.3">
      <c r="A124" s="635" t="s">
        <v>1612</v>
      </c>
      <c r="B124" s="635">
        <v>73.62</v>
      </c>
      <c r="C124" s="636">
        <v>262</v>
      </c>
      <c r="D124" s="636">
        <v>19288.439999999999</v>
      </c>
      <c r="E124" s="603"/>
    </row>
    <row r="125" spans="1:5" x14ac:dyDescent="0.3">
      <c r="A125" s="635" t="s">
        <v>1611</v>
      </c>
      <c r="B125" s="635">
        <v>77.17</v>
      </c>
      <c r="C125" s="636">
        <v>390</v>
      </c>
      <c r="D125" s="636">
        <v>30096.3</v>
      </c>
      <c r="E125" s="603"/>
    </row>
    <row r="126" spans="1:5" x14ac:dyDescent="0.3">
      <c r="A126" s="635" t="s">
        <v>1610</v>
      </c>
      <c r="B126" s="635">
        <v>81.02</v>
      </c>
      <c r="C126" s="636">
        <v>1359</v>
      </c>
      <c r="D126" s="636">
        <v>110106.18</v>
      </c>
      <c r="E126" s="603"/>
    </row>
    <row r="127" spans="1:5" x14ac:dyDescent="0.3">
      <c r="A127" s="635" t="s">
        <v>1609</v>
      </c>
      <c r="B127" s="635">
        <v>85.06</v>
      </c>
      <c r="C127" s="636">
        <v>406</v>
      </c>
      <c r="D127" s="636">
        <v>34534.36</v>
      </c>
      <c r="E127" s="603"/>
    </row>
    <row r="128" spans="1:5" x14ac:dyDescent="0.3">
      <c r="A128" s="635" t="s">
        <v>1608</v>
      </c>
      <c r="B128" s="635">
        <v>89.3</v>
      </c>
      <c r="C128" s="636">
        <v>575</v>
      </c>
      <c r="D128" s="636">
        <v>51347.5</v>
      </c>
      <c r="E128" s="603"/>
    </row>
    <row r="129" spans="1:5" x14ac:dyDescent="0.3">
      <c r="A129" s="635" t="s">
        <v>1607</v>
      </c>
      <c r="B129" s="635">
        <v>98.44</v>
      </c>
      <c r="C129" s="636">
        <v>1658</v>
      </c>
      <c r="D129" s="636">
        <v>163213.51999999999</v>
      </c>
      <c r="E129" s="603"/>
    </row>
    <row r="130" spans="1:5" x14ac:dyDescent="0.3">
      <c r="A130" s="635" t="s">
        <v>1606</v>
      </c>
      <c r="B130" s="635">
        <v>103.36</v>
      </c>
      <c r="C130" s="636">
        <v>270</v>
      </c>
      <c r="D130" s="636">
        <v>27907.200000000001</v>
      </c>
      <c r="E130" s="603"/>
    </row>
    <row r="131" spans="1:5" x14ac:dyDescent="0.3">
      <c r="A131" s="635" t="s">
        <v>1605</v>
      </c>
      <c r="B131" s="635">
        <v>105.09</v>
      </c>
      <c r="C131" s="636">
        <v>1397</v>
      </c>
      <c r="D131" s="636">
        <v>146810.73000000001</v>
      </c>
      <c r="E131" s="603"/>
    </row>
    <row r="132" spans="1:5" x14ac:dyDescent="0.3">
      <c r="A132" s="635" t="s">
        <v>1604</v>
      </c>
      <c r="B132" s="635">
        <v>100.38</v>
      </c>
      <c r="C132" s="636">
        <v>1745</v>
      </c>
      <c r="D132" s="636">
        <v>175163.1</v>
      </c>
      <c r="E132" s="603"/>
    </row>
    <row r="133" spans="1:5" x14ac:dyDescent="0.3">
      <c r="A133" s="635" t="s">
        <v>1603</v>
      </c>
      <c r="B133" s="635">
        <v>96.18</v>
      </c>
      <c r="C133" s="636">
        <v>2436</v>
      </c>
      <c r="D133" s="636">
        <v>234294.48</v>
      </c>
      <c r="E133" s="603"/>
    </row>
    <row r="134" spans="1:5" x14ac:dyDescent="0.3">
      <c r="A134" s="635" t="s">
        <v>1602</v>
      </c>
      <c r="B134" s="635">
        <v>91.38</v>
      </c>
      <c r="C134" s="636">
        <v>536</v>
      </c>
      <c r="D134" s="636">
        <v>48979.68</v>
      </c>
      <c r="E134" s="603"/>
    </row>
    <row r="135" spans="1:5" x14ac:dyDescent="0.3">
      <c r="A135" s="635" t="s">
        <v>1601</v>
      </c>
      <c r="B135" s="635">
        <v>86.82</v>
      </c>
      <c r="C135" s="636">
        <v>368</v>
      </c>
      <c r="D135" s="636">
        <v>31949.759999999998</v>
      </c>
      <c r="E135" s="603"/>
    </row>
    <row r="136" spans="1:5" x14ac:dyDescent="0.3">
      <c r="A136" s="635" t="s">
        <v>1600</v>
      </c>
      <c r="B136" s="635">
        <v>91.33</v>
      </c>
      <c r="C136" s="636">
        <v>152</v>
      </c>
      <c r="D136" s="636">
        <v>13882.16</v>
      </c>
      <c r="E136" s="603"/>
    </row>
    <row r="137" spans="1:5" x14ac:dyDescent="0.3">
      <c r="A137" s="635" t="s">
        <v>1599</v>
      </c>
      <c r="B137" s="635">
        <v>86.77</v>
      </c>
      <c r="C137" s="636">
        <v>543</v>
      </c>
      <c r="D137" s="636">
        <v>47116.11</v>
      </c>
      <c r="E137" s="603"/>
    </row>
    <row r="138" spans="1:5" x14ac:dyDescent="0.3">
      <c r="A138" s="635" t="s">
        <v>1598</v>
      </c>
      <c r="B138" s="635">
        <v>83.3</v>
      </c>
      <c r="C138" s="636">
        <v>120</v>
      </c>
      <c r="D138" s="636">
        <v>9996</v>
      </c>
      <c r="E138" s="603"/>
    </row>
    <row r="139" spans="1:5" x14ac:dyDescent="0.3">
      <c r="A139" s="635" t="s">
        <v>1597</v>
      </c>
      <c r="B139" s="635">
        <v>83.3</v>
      </c>
      <c r="C139" s="636">
        <v>10</v>
      </c>
      <c r="D139" s="636">
        <v>833</v>
      </c>
      <c r="E139" s="603"/>
    </row>
    <row r="140" spans="1:5" x14ac:dyDescent="0.3">
      <c r="A140" s="635" t="s">
        <v>1596</v>
      </c>
      <c r="B140" s="635">
        <v>87.46</v>
      </c>
      <c r="C140" s="636">
        <v>100</v>
      </c>
      <c r="D140" s="636">
        <v>8746</v>
      </c>
      <c r="E140" s="603"/>
    </row>
    <row r="141" spans="1:5" x14ac:dyDescent="0.3">
      <c r="A141" s="635" t="s">
        <v>1595</v>
      </c>
      <c r="B141" s="635">
        <v>89.45</v>
      </c>
      <c r="C141" s="636">
        <v>8</v>
      </c>
      <c r="D141" s="636">
        <v>715.6</v>
      </c>
      <c r="E141" s="603"/>
    </row>
    <row r="142" spans="1:5" x14ac:dyDescent="0.3">
      <c r="A142" s="635" t="s">
        <v>1594</v>
      </c>
      <c r="B142" s="635">
        <v>87.02</v>
      </c>
      <c r="C142" s="636">
        <v>200</v>
      </c>
      <c r="D142" s="636">
        <v>17404</v>
      </c>
      <c r="E142" s="603"/>
    </row>
    <row r="143" spans="1:5" x14ac:dyDescent="0.3">
      <c r="A143" s="635" t="s">
        <v>1593</v>
      </c>
      <c r="B143" s="635">
        <v>87.05</v>
      </c>
      <c r="C143" s="636">
        <v>91</v>
      </c>
      <c r="D143" s="636">
        <v>7921.55</v>
      </c>
      <c r="E143" s="603"/>
    </row>
    <row r="144" spans="1:5" x14ac:dyDescent="0.3">
      <c r="A144" s="635" t="s">
        <v>1592</v>
      </c>
      <c r="B144" s="635">
        <v>87.05</v>
      </c>
      <c r="C144" s="636">
        <v>30</v>
      </c>
      <c r="D144" s="636">
        <v>2611.5</v>
      </c>
      <c r="E144" s="603"/>
    </row>
    <row r="145" spans="1:5" x14ac:dyDescent="0.3">
      <c r="A145" s="635" t="s">
        <v>1591</v>
      </c>
      <c r="B145" s="635">
        <v>87.05</v>
      </c>
      <c r="C145" s="636">
        <v>38</v>
      </c>
      <c r="D145" s="636">
        <v>3307.9</v>
      </c>
      <c r="E145" s="603"/>
    </row>
    <row r="146" spans="1:5" x14ac:dyDescent="0.3">
      <c r="A146" s="635" t="s">
        <v>1590</v>
      </c>
      <c r="B146" s="635">
        <v>87.05</v>
      </c>
      <c r="C146" s="636">
        <v>2</v>
      </c>
      <c r="D146" s="636">
        <v>174.1</v>
      </c>
      <c r="E146" s="603"/>
    </row>
    <row r="147" spans="1:5" x14ac:dyDescent="0.3">
      <c r="A147" s="635" t="s">
        <v>1589</v>
      </c>
      <c r="B147" s="635">
        <v>87.05</v>
      </c>
      <c r="C147" s="636">
        <v>50</v>
      </c>
      <c r="D147" s="636">
        <v>4352.5</v>
      </c>
      <c r="E147" s="603"/>
    </row>
    <row r="148" spans="1:5" x14ac:dyDescent="0.3">
      <c r="A148" s="635" t="s">
        <v>1588</v>
      </c>
      <c r="B148" s="635">
        <v>89.5</v>
      </c>
      <c r="C148" s="636">
        <v>180</v>
      </c>
      <c r="D148" s="636">
        <v>16110</v>
      </c>
      <c r="E148" s="603"/>
    </row>
    <row r="149" spans="1:5" x14ac:dyDescent="0.3">
      <c r="A149" s="635" t="s">
        <v>1587</v>
      </c>
      <c r="B149" s="635">
        <v>89.5</v>
      </c>
      <c r="C149" s="636">
        <v>14</v>
      </c>
      <c r="D149" s="636">
        <v>1253</v>
      </c>
      <c r="E149" s="603"/>
    </row>
    <row r="150" spans="1:5" x14ac:dyDescent="0.3">
      <c r="A150" s="635" t="s">
        <v>1586</v>
      </c>
      <c r="B150" s="635">
        <v>92.78</v>
      </c>
      <c r="C150" s="636">
        <v>847</v>
      </c>
      <c r="D150" s="636">
        <v>78584.66</v>
      </c>
      <c r="E150" s="603"/>
    </row>
    <row r="151" spans="1:5" x14ac:dyDescent="0.3">
      <c r="A151" s="635" t="s">
        <v>1585</v>
      </c>
      <c r="B151" s="635">
        <v>92.78</v>
      </c>
      <c r="C151" s="636">
        <v>58</v>
      </c>
      <c r="D151" s="636">
        <v>5381.24</v>
      </c>
      <c r="E151" s="603"/>
    </row>
    <row r="152" spans="1:5" x14ac:dyDescent="0.3">
      <c r="A152" s="635" t="s">
        <v>1584</v>
      </c>
      <c r="B152" s="635">
        <v>97.08</v>
      </c>
      <c r="C152" s="636">
        <v>100</v>
      </c>
      <c r="D152" s="636">
        <v>9708</v>
      </c>
      <c r="E152" s="603"/>
    </row>
    <row r="153" spans="1:5" x14ac:dyDescent="0.3">
      <c r="A153" s="635" t="s">
        <v>1583</v>
      </c>
      <c r="B153" s="635">
        <v>97.08</v>
      </c>
      <c r="C153" s="636">
        <v>8</v>
      </c>
      <c r="D153" s="636">
        <v>776.64</v>
      </c>
      <c r="E153" s="603"/>
    </row>
    <row r="154" spans="1:5" x14ac:dyDescent="0.3">
      <c r="A154" s="635" t="s">
        <v>1582</v>
      </c>
      <c r="B154" s="635">
        <v>95.99</v>
      </c>
      <c r="C154" s="636">
        <v>142</v>
      </c>
      <c r="D154" s="636">
        <v>13630.58</v>
      </c>
      <c r="E154" s="603"/>
    </row>
    <row r="155" spans="1:5" x14ac:dyDescent="0.3">
      <c r="A155" s="635" t="s">
        <v>1581</v>
      </c>
      <c r="B155" s="635">
        <v>95.99</v>
      </c>
      <c r="C155" s="636">
        <v>92</v>
      </c>
      <c r="D155" s="636">
        <v>8831.08</v>
      </c>
      <c r="E155" s="603"/>
    </row>
    <row r="156" spans="1:5" x14ac:dyDescent="0.3">
      <c r="A156" s="635" t="s">
        <v>1580</v>
      </c>
      <c r="B156" s="635">
        <v>100.34</v>
      </c>
      <c r="C156" s="636">
        <v>267</v>
      </c>
      <c r="D156" s="636">
        <v>26790.78</v>
      </c>
      <c r="E156" s="603"/>
    </row>
    <row r="157" spans="1:5" x14ac:dyDescent="0.3">
      <c r="A157" s="635" t="s">
        <v>1579</v>
      </c>
      <c r="B157" s="635">
        <v>100.72</v>
      </c>
      <c r="C157" s="636">
        <v>856</v>
      </c>
      <c r="D157" s="636">
        <v>86216.319999999992</v>
      </c>
      <c r="E157" s="603"/>
    </row>
    <row r="158" spans="1:5" x14ac:dyDescent="0.3">
      <c r="A158" s="635" t="s">
        <v>1578</v>
      </c>
      <c r="B158" s="635">
        <v>105.52</v>
      </c>
      <c r="C158" s="636">
        <v>143</v>
      </c>
      <c r="D158" s="636">
        <v>15089.36</v>
      </c>
      <c r="E158" s="603"/>
    </row>
    <row r="159" spans="1:5" x14ac:dyDescent="0.3">
      <c r="A159" s="635" t="s">
        <v>1577</v>
      </c>
      <c r="B159" s="635">
        <v>109.53</v>
      </c>
      <c r="C159" s="636">
        <v>1350</v>
      </c>
      <c r="D159" s="636">
        <v>147865.5</v>
      </c>
      <c r="E159" s="603"/>
    </row>
    <row r="160" spans="1:5" x14ac:dyDescent="0.3">
      <c r="A160" s="635" t="s">
        <v>1576</v>
      </c>
      <c r="B160" s="635">
        <v>115</v>
      </c>
      <c r="C160" s="636">
        <v>5090</v>
      </c>
      <c r="D160" s="636">
        <v>585350</v>
      </c>
      <c r="E160" s="603"/>
    </row>
    <row r="161" spans="1:5" x14ac:dyDescent="0.3">
      <c r="A161" s="635" t="s">
        <v>1575</v>
      </c>
      <c r="B161" s="635">
        <v>120.75</v>
      </c>
      <c r="C161" s="636">
        <v>2703</v>
      </c>
      <c r="D161" s="636">
        <v>326387.25</v>
      </c>
      <c r="E161" s="603"/>
    </row>
    <row r="162" spans="1:5" x14ac:dyDescent="0.3">
      <c r="A162" s="635" t="s">
        <v>1574</v>
      </c>
      <c r="B162" s="635">
        <v>126.78</v>
      </c>
      <c r="C162" s="636">
        <v>1141</v>
      </c>
      <c r="D162" s="636">
        <v>144655.98000000001</v>
      </c>
      <c r="E162" s="603"/>
    </row>
    <row r="163" spans="1:5" x14ac:dyDescent="0.3">
      <c r="A163" s="635" t="s">
        <v>1573</v>
      </c>
      <c r="B163" s="635">
        <v>133.11000000000001</v>
      </c>
      <c r="C163" s="636">
        <v>1750</v>
      </c>
      <c r="D163" s="636">
        <v>232942.5</v>
      </c>
      <c r="E163" s="603"/>
    </row>
    <row r="164" spans="1:5" x14ac:dyDescent="0.3">
      <c r="A164" s="635" t="s">
        <v>1572</v>
      </c>
      <c r="B164" s="635">
        <v>139.76</v>
      </c>
      <c r="C164" s="636">
        <v>700</v>
      </c>
      <c r="D164" s="636">
        <v>97832</v>
      </c>
      <c r="E164" s="603"/>
    </row>
    <row r="165" spans="1:5" x14ac:dyDescent="0.3">
      <c r="A165" s="635" t="s">
        <v>1571</v>
      </c>
      <c r="B165" s="635">
        <v>146.74</v>
      </c>
      <c r="C165" s="636">
        <v>666</v>
      </c>
      <c r="D165" s="636">
        <v>97728.840000000011</v>
      </c>
      <c r="E165" s="603"/>
    </row>
    <row r="166" spans="1:5" x14ac:dyDescent="0.3">
      <c r="A166" s="635" t="s">
        <v>1570</v>
      </c>
      <c r="B166" s="635">
        <v>154.07</v>
      </c>
      <c r="C166" s="636">
        <v>208</v>
      </c>
      <c r="D166" s="636">
        <v>32046.560000000001</v>
      </c>
      <c r="E166" s="603"/>
    </row>
    <row r="167" spans="1:5" x14ac:dyDescent="0.3">
      <c r="A167" s="635" t="s">
        <v>1569</v>
      </c>
      <c r="B167" s="635">
        <v>156.61000000000001</v>
      </c>
      <c r="C167" s="636">
        <v>13794</v>
      </c>
      <c r="D167" s="636">
        <v>2160278.34</v>
      </c>
      <c r="E167" s="603"/>
    </row>
    <row r="168" spans="1:5" x14ac:dyDescent="0.3">
      <c r="A168" s="635" t="s">
        <v>1568</v>
      </c>
      <c r="B168" s="635">
        <v>148.78</v>
      </c>
      <c r="C168" s="636">
        <v>281</v>
      </c>
      <c r="D168" s="636">
        <v>41807.18</v>
      </c>
      <c r="E168" s="603"/>
    </row>
    <row r="169" spans="1:5" x14ac:dyDescent="0.3">
      <c r="A169" s="635" t="s">
        <v>1567</v>
      </c>
      <c r="B169" s="635">
        <v>141.83000000000001</v>
      </c>
      <c r="C169" s="636">
        <v>7331</v>
      </c>
      <c r="D169" s="636">
        <v>1039755.73</v>
      </c>
      <c r="E169" s="603"/>
    </row>
    <row r="170" spans="1:5" x14ac:dyDescent="0.3">
      <c r="A170" s="635" t="s">
        <v>1566</v>
      </c>
      <c r="B170" s="635">
        <v>134.80000000000001</v>
      </c>
      <c r="C170" s="636">
        <v>2676</v>
      </c>
      <c r="D170" s="636">
        <v>360724.8</v>
      </c>
      <c r="E170" s="603"/>
    </row>
    <row r="171" spans="1:5" x14ac:dyDescent="0.3">
      <c r="A171" s="635" t="s">
        <v>1565</v>
      </c>
      <c r="B171" s="635">
        <v>128.24</v>
      </c>
      <c r="C171" s="636">
        <v>1533</v>
      </c>
      <c r="D171" s="636">
        <v>196591.92</v>
      </c>
      <c r="E171" s="603"/>
    </row>
    <row r="172" spans="1:5" x14ac:dyDescent="0.3">
      <c r="A172" s="635" t="s">
        <v>1564</v>
      </c>
      <c r="B172" s="635">
        <v>127</v>
      </c>
      <c r="C172" s="636">
        <v>6084</v>
      </c>
      <c r="D172" s="636">
        <v>772668</v>
      </c>
      <c r="E172" s="603"/>
    </row>
    <row r="173" spans="1:5" x14ac:dyDescent="0.3">
      <c r="A173" s="635" t="s">
        <v>1563</v>
      </c>
      <c r="B173" s="635">
        <v>131.94</v>
      </c>
      <c r="C173" s="636">
        <v>5894</v>
      </c>
      <c r="D173" s="636">
        <v>777654.36</v>
      </c>
      <c r="E173" s="603"/>
    </row>
    <row r="174" spans="1:5" x14ac:dyDescent="0.3">
      <c r="A174" s="635" t="s">
        <v>1562</v>
      </c>
      <c r="B174" s="635">
        <v>138.49</v>
      </c>
      <c r="C174" s="636">
        <v>6199</v>
      </c>
      <c r="D174" s="636">
        <v>858499.51</v>
      </c>
      <c r="E174" s="603"/>
    </row>
    <row r="175" spans="1:5" x14ac:dyDescent="0.3">
      <c r="A175" s="635" t="s">
        <v>1561</v>
      </c>
      <c r="B175" s="635">
        <v>142.61000000000001</v>
      </c>
      <c r="C175" s="636">
        <v>326</v>
      </c>
      <c r="D175" s="636">
        <v>46490.860000000008</v>
      </c>
      <c r="E175" s="603"/>
    </row>
    <row r="176" spans="1:5" x14ac:dyDescent="0.3">
      <c r="A176" s="635" t="s">
        <v>1560</v>
      </c>
      <c r="B176" s="635">
        <v>135.47999999999999</v>
      </c>
      <c r="C176" s="636">
        <v>688</v>
      </c>
      <c r="D176" s="636">
        <v>93210.239999999991</v>
      </c>
      <c r="E176" s="603"/>
    </row>
    <row r="177" spans="1:5" x14ac:dyDescent="0.3">
      <c r="A177" s="635" t="s">
        <v>1559</v>
      </c>
      <c r="B177" s="635">
        <v>124.72</v>
      </c>
      <c r="C177" s="636">
        <v>3933</v>
      </c>
      <c r="D177" s="636">
        <v>490523.76</v>
      </c>
      <c r="E177" s="603"/>
    </row>
    <row r="178" spans="1:5" x14ac:dyDescent="0.3">
      <c r="A178" s="635" t="s">
        <v>1558</v>
      </c>
      <c r="B178" s="635">
        <v>129.62</v>
      </c>
      <c r="C178" s="636">
        <v>2257</v>
      </c>
      <c r="D178" s="636">
        <v>292552.34000000003</v>
      </c>
      <c r="E178" s="603"/>
    </row>
    <row r="179" spans="1:5" x14ac:dyDescent="0.3">
      <c r="A179" s="635" t="s">
        <v>1557</v>
      </c>
      <c r="B179" s="635">
        <v>124.28</v>
      </c>
      <c r="C179" s="636">
        <v>750</v>
      </c>
      <c r="D179" s="636">
        <v>93210</v>
      </c>
      <c r="E179" s="603"/>
    </row>
    <row r="180" spans="1:5" x14ac:dyDescent="0.3">
      <c r="A180" s="635" t="s">
        <v>1556</v>
      </c>
      <c r="B180" s="635">
        <v>128.62</v>
      </c>
      <c r="C180" s="636">
        <v>2549</v>
      </c>
      <c r="D180" s="636">
        <v>327852.38</v>
      </c>
      <c r="E180" s="603"/>
    </row>
    <row r="181" spans="1:5" x14ac:dyDescent="0.3">
      <c r="A181" s="635" t="s">
        <v>1555</v>
      </c>
      <c r="B181" s="635">
        <v>122.76</v>
      </c>
      <c r="C181" s="636">
        <v>1470</v>
      </c>
      <c r="D181" s="636">
        <v>180457.2</v>
      </c>
      <c r="E181" s="603"/>
    </row>
    <row r="182" spans="1:5" x14ac:dyDescent="0.3">
      <c r="A182" s="635" t="s">
        <v>1554</v>
      </c>
      <c r="B182" s="635">
        <v>123.12</v>
      </c>
      <c r="C182" s="636">
        <v>689</v>
      </c>
      <c r="D182" s="636">
        <v>84829.680000000008</v>
      </c>
      <c r="E182" s="603"/>
    </row>
    <row r="183" spans="1:5" x14ac:dyDescent="0.3">
      <c r="A183" s="635" t="s">
        <v>1553</v>
      </c>
      <c r="B183" s="635">
        <v>127.11</v>
      </c>
      <c r="C183" s="636">
        <v>1788</v>
      </c>
      <c r="D183" s="636">
        <v>227272.68</v>
      </c>
      <c r="E183" s="603"/>
    </row>
    <row r="184" spans="1:5" x14ac:dyDescent="0.3">
      <c r="A184" s="635" t="s">
        <v>1552</v>
      </c>
      <c r="B184" s="635">
        <v>123.47</v>
      </c>
      <c r="C184" s="636">
        <v>2391</v>
      </c>
      <c r="D184" s="636">
        <v>295216.77</v>
      </c>
      <c r="E184" s="603"/>
    </row>
    <row r="185" spans="1:5" x14ac:dyDescent="0.3">
      <c r="A185" s="635" t="s">
        <v>1551</v>
      </c>
      <c r="B185" s="635">
        <v>118.13</v>
      </c>
      <c r="C185" s="636">
        <v>943</v>
      </c>
      <c r="D185" s="636">
        <v>111396.59</v>
      </c>
      <c r="E185" s="603"/>
    </row>
    <row r="186" spans="1:5" x14ac:dyDescent="0.3">
      <c r="A186" s="635" t="s">
        <v>1550</v>
      </c>
      <c r="B186" s="635">
        <v>112.02</v>
      </c>
      <c r="C186" s="636">
        <v>265</v>
      </c>
      <c r="D186" s="636">
        <v>29685.3</v>
      </c>
      <c r="E186" s="603"/>
    </row>
    <row r="187" spans="1:5" x14ac:dyDescent="0.3">
      <c r="A187" s="635" t="s">
        <v>1549</v>
      </c>
      <c r="B187" s="635">
        <v>115.32</v>
      </c>
      <c r="C187" s="636">
        <v>800</v>
      </c>
      <c r="D187" s="636">
        <v>92256</v>
      </c>
      <c r="E187" s="603"/>
    </row>
    <row r="188" spans="1:5" x14ac:dyDescent="0.3">
      <c r="A188" s="635" t="s">
        <v>1548</v>
      </c>
      <c r="B188" s="635">
        <v>121.08</v>
      </c>
      <c r="C188" s="636">
        <v>1220</v>
      </c>
      <c r="D188" s="636">
        <v>147717.6</v>
      </c>
      <c r="E188" s="603"/>
    </row>
    <row r="189" spans="1:5" x14ac:dyDescent="0.3">
      <c r="A189" s="635" t="s">
        <v>1547</v>
      </c>
      <c r="B189" s="635">
        <v>120.11</v>
      </c>
      <c r="C189" s="636">
        <v>958</v>
      </c>
      <c r="D189" s="636">
        <v>115065.38</v>
      </c>
      <c r="E189" s="603"/>
    </row>
    <row r="190" spans="1:5" x14ac:dyDescent="0.3">
      <c r="A190" s="635" t="s">
        <v>1546</v>
      </c>
      <c r="B190" s="635">
        <v>120.11</v>
      </c>
      <c r="C190" s="636">
        <v>62</v>
      </c>
      <c r="D190" s="636">
        <v>7446.82</v>
      </c>
      <c r="E190" s="603"/>
    </row>
    <row r="191" spans="1:5" x14ac:dyDescent="0.3">
      <c r="A191" s="635" t="s">
        <v>1545</v>
      </c>
      <c r="B191" s="635">
        <v>117.36</v>
      </c>
      <c r="C191" s="636">
        <v>115</v>
      </c>
      <c r="D191" s="636">
        <v>13496.4</v>
      </c>
      <c r="E191" s="603"/>
    </row>
    <row r="192" spans="1:5" x14ac:dyDescent="0.3">
      <c r="A192" s="635" t="s">
        <v>1544</v>
      </c>
      <c r="B192" s="635">
        <v>118.41</v>
      </c>
      <c r="C192" s="636">
        <v>974</v>
      </c>
      <c r="D192" s="636">
        <v>115331.34</v>
      </c>
      <c r="E192" s="603"/>
    </row>
    <row r="193" spans="1:5" x14ac:dyDescent="0.3">
      <c r="A193" s="635" t="s">
        <v>1543</v>
      </c>
      <c r="B193" s="635">
        <v>116.93</v>
      </c>
      <c r="C193" s="636">
        <v>416</v>
      </c>
      <c r="D193" s="636">
        <v>48642.879999999997</v>
      </c>
      <c r="E193" s="603"/>
    </row>
    <row r="194" spans="1:5" x14ac:dyDescent="0.3">
      <c r="A194" s="635" t="s">
        <v>1542</v>
      </c>
      <c r="B194" s="635">
        <v>116.13</v>
      </c>
      <c r="C194" s="636">
        <v>1100</v>
      </c>
      <c r="D194" s="636">
        <v>127743</v>
      </c>
      <c r="E194" s="603"/>
    </row>
    <row r="195" spans="1:5" x14ac:dyDescent="0.3">
      <c r="A195" s="635" t="s">
        <v>1541</v>
      </c>
      <c r="B195" s="635">
        <v>113.61</v>
      </c>
      <c r="C195" s="636">
        <v>291</v>
      </c>
      <c r="D195" s="636">
        <v>33060.51</v>
      </c>
      <c r="E195" s="603"/>
    </row>
    <row r="196" spans="1:5" x14ac:dyDescent="0.3">
      <c r="A196" s="635" t="s">
        <v>1540</v>
      </c>
      <c r="B196" s="635">
        <v>113.36</v>
      </c>
      <c r="C196" s="636">
        <v>432</v>
      </c>
      <c r="D196" s="636">
        <v>48971.519999999997</v>
      </c>
      <c r="E196" s="603"/>
    </row>
    <row r="197" spans="1:5" x14ac:dyDescent="0.3">
      <c r="A197" s="635" t="s">
        <v>1539</v>
      </c>
      <c r="B197" s="635">
        <v>116.49</v>
      </c>
      <c r="C197" s="636">
        <v>3590</v>
      </c>
      <c r="D197" s="636">
        <v>418199.1</v>
      </c>
      <c r="E197" s="603"/>
    </row>
    <row r="198" spans="1:5" x14ac:dyDescent="0.3">
      <c r="A198" s="635" t="s">
        <v>1538</v>
      </c>
      <c r="B198" s="635">
        <v>112.24</v>
      </c>
      <c r="C198" s="636">
        <v>180</v>
      </c>
      <c r="D198" s="636">
        <v>20203.2</v>
      </c>
      <c r="E198" s="603"/>
    </row>
    <row r="199" spans="1:5" x14ac:dyDescent="0.3">
      <c r="A199" s="635" t="s">
        <v>1537</v>
      </c>
      <c r="B199" s="635">
        <v>117.85</v>
      </c>
      <c r="C199" s="636">
        <v>154</v>
      </c>
      <c r="D199" s="636">
        <v>18148.900000000001</v>
      </c>
      <c r="E199" s="603"/>
    </row>
    <row r="200" spans="1:5" x14ac:dyDescent="0.3">
      <c r="A200" s="635" t="s">
        <v>1536</v>
      </c>
      <c r="B200" s="635">
        <v>123.61</v>
      </c>
      <c r="C200" s="636">
        <v>3154</v>
      </c>
      <c r="D200" s="636">
        <v>389865.94</v>
      </c>
      <c r="E200" s="603"/>
    </row>
    <row r="201" spans="1:5" x14ac:dyDescent="0.3">
      <c r="A201" s="635" t="s">
        <v>1535</v>
      </c>
      <c r="B201" s="635">
        <v>123.11</v>
      </c>
      <c r="C201" s="636">
        <v>2575</v>
      </c>
      <c r="D201" s="636">
        <v>317008.25</v>
      </c>
      <c r="E201" s="603"/>
    </row>
    <row r="202" spans="1:5" x14ac:dyDescent="0.3">
      <c r="A202" s="635" t="s">
        <v>1534</v>
      </c>
      <c r="B202" s="635">
        <v>117.76</v>
      </c>
      <c r="C202" s="636">
        <v>1097</v>
      </c>
      <c r="D202" s="636">
        <v>129182.72</v>
      </c>
      <c r="E202" s="603"/>
    </row>
    <row r="203" spans="1:5" x14ac:dyDescent="0.3">
      <c r="A203" s="635" t="s">
        <v>1533</v>
      </c>
      <c r="B203" s="635">
        <v>114.96</v>
      </c>
      <c r="C203" s="636">
        <v>400</v>
      </c>
      <c r="D203" s="636">
        <v>45984</v>
      </c>
      <c r="E203" s="603"/>
    </row>
    <row r="204" spans="1:5" x14ac:dyDescent="0.3">
      <c r="A204" s="635" t="s">
        <v>1532</v>
      </c>
      <c r="B204" s="635">
        <v>112.08</v>
      </c>
      <c r="C204" s="636">
        <v>320</v>
      </c>
      <c r="D204" s="636">
        <v>35865.599999999999</v>
      </c>
      <c r="E204" s="603"/>
    </row>
    <row r="205" spans="1:5" x14ac:dyDescent="0.3">
      <c r="A205" s="635" t="s">
        <v>1531</v>
      </c>
      <c r="B205" s="635">
        <v>112.13</v>
      </c>
      <c r="C205" s="636">
        <v>220</v>
      </c>
      <c r="D205" s="636">
        <v>24668.6</v>
      </c>
      <c r="E205" s="603"/>
    </row>
    <row r="206" spans="1:5" x14ac:dyDescent="0.3">
      <c r="A206" s="635" t="s">
        <v>1530</v>
      </c>
      <c r="B206" s="635">
        <v>109.84</v>
      </c>
      <c r="C206" s="636">
        <v>336</v>
      </c>
      <c r="D206" s="636">
        <v>36906.239999999998</v>
      </c>
      <c r="E206" s="603"/>
    </row>
    <row r="207" spans="1:5" x14ac:dyDescent="0.3">
      <c r="A207" s="635" t="s">
        <v>1529</v>
      </c>
      <c r="B207" s="635">
        <v>111.43</v>
      </c>
      <c r="C207" s="636">
        <v>551</v>
      </c>
      <c r="D207" s="636">
        <v>61397.93</v>
      </c>
      <c r="E207" s="603"/>
    </row>
    <row r="208" spans="1:5" x14ac:dyDescent="0.3">
      <c r="A208" s="635" t="s">
        <v>1528</v>
      </c>
      <c r="B208" s="635">
        <v>109.95</v>
      </c>
      <c r="C208" s="636">
        <v>1425</v>
      </c>
      <c r="D208" s="636">
        <v>156678.75</v>
      </c>
      <c r="E208" s="603"/>
    </row>
    <row r="209" spans="1:5" x14ac:dyDescent="0.3">
      <c r="A209" s="635" t="s">
        <v>1527</v>
      </c>
      <c r="B209" s="635">
        <v>105.26</v>
      </c>
      <c r="C209" s="636">
        <v>1105</v>
      </c>
      <c r="D209" s="636">
        <v>116312.3</v>
      </c>
      <c r="E209" s="603"/>
    </row>
    <row r="210" spans="1:5" x14ac:dyDescent="0.3">
      <c r="A210" s="635" t="s">
        <v>1526</v>
      </c>
      <c r="B210" s="635">
        <v>101.25</v>
      </c>
      <c r="C210" s="636">
        <v>547</v>
      </c>
      <c r="D210" s="636">
        <v>55383.75</v>
      </c>
      <c r="E210" s="603"/>
    </row>
    <row r="211" spans="1:5" x14ac:dyDescent="0.3">
      <c r="A211" s="635" t="s">
        <v>1525</v>
      </c>
      <c r="B211" s="635">
        <v>104.05</v>
      </c>
      <c r="C211" s="636">
        <v>383</v>
      </c>
      <c r="D211" s="636">
        <v>39851.15</v>
      </c>
      <c r="E211" s="603"/>
    </row>
    <row r="212" spans="1:5" x14ac:dyDescent="0.3">
      <c r="A212" s="635" t="s">
        <v>1524</v>
      </c>
      <c r="B212" s="635">
        <v>109.24</v>
      </c>
      <c r="C212" s="636">
        <v>180</v>
      </c>
      <c r="D212" s="636">
        <v>19663.2</v>
      </c>
      <c r="E212" s="603"/>
    </row>
    <row r="213" spans="1:5" x14ac:dyDescent="0.3">
      <c r="A213" s="635" t="s">
        <v>1523</v>
      </c>
      <c r="B213" s="635">
        <v>112.59</v>
      </c>
      <c r="C213" s="636">
        <v>106</v>
      </c>
      <c r="D213" s="636">
        <v>11934.54</v>
      </c>
      <c r="E213" s="603"/>
    </row>
    <row r="214" spans="1:5" x14ac:dyDescent="0.3">
      <c r="A214" s="635" t="s">
        <v>1522</v>
      </c>
      <c r="B214" s="635">
        <v>108.25</v>
      </c>
      <c r="C214" s="636">
        <v>206</v>
      </c>
      <c r="D214" s="636">
        <v>22299.5</v>
      </c>
      <c r="E214" s="603"/>
    </row>
    <row r="215" spans="1:5" x14ac:dyDescent="0.3">
      <c r="A215" s="635" t="s">
        <v>1521</v>
      </c>
      <c r="B215" s="635">
        <v>113.5</v>
      </c>
      <c r="C215" s="636">
        <v>500</v>
      </c>
      <c r="D215" s="636">
        <v>56750</v>
      </c>
      <c r="E215" s="603"/>
    </row>
    <row r="216" spans="1:5" x14ac:dyDescent="0.3">
      <c r="A216" s="635" t="s">
        <v>1520</v>
      </c>
      <c r="B216" s="635">
        <v>108.55</v>
      </c>
      <c r="C216" s="636">
        <v>100</v>
      </c>
      <c r="D216" s="636">
        <v>10855</v>
      </c>
      <c r="E216" s="603"/>
    </row>
    <row r="217" spans="1:5" x14ac:dyDescent="0.3">
      <c r="A217" s="635" t="s">
        <v>1519</v>
      </c>
      <c r="B217" s="635">
        <v>108.55</v>
      </c>
      <c r="C217" s="636">
        <v>50</v>
      </c>
      <c r="D217" s="636">
        <v>5427.5</v>
      </c>
      <c r="E217" s="603"/>
    </row>
    <row r="218" spans="1:5" x14ac:dyDescent="0.3">
      <c r="A218" s="635" t="s">
        <v>1518</v>
      </c>
      <c r="B218" s="635">
        <v>113.36</v>
      </c>
      <c r="C218" s="636">
        <v>120</v>
      </c>
      <c r="D218" s="636">
        <v>13603.2</v>
      </c>
      <c r="E218" s="603"/>
    </row>
    <row r="219" spans="1:5" x14ac:dyDescent="0.3">
      <c r="A219" s="635" t="s">
        <v>1517</v>
      </c>
      <c r="B219" s="635">
        <v>118.99</v>
      </c>
      <c r="C219" s="636">
        <v>1336</v>
      </c>
      <c r="D219" s="636">
        <v>158970.64000000001</v>
      </c>
      <c r="E219" s="603"/>
    </row>
    <row r="220" spans="1:5" x14ac:dyDescent="0.3">
      <c r="A220" s="635" t="s">
        <v>1516</v>
      </c>
      <c r="B220" s="635">
        <v>113.93</v>
      </c>
      <c r="C220" s="636">
        <v>361</v>
      </c>
      <c r="D220" s="636">
        <v>41128.730000000003</v>
      </c>
      <c r="E220" s="603"/>
    </row>
    <row r="221" spans="1:5" x14ac:dyDescent="0.3">
      <c r="A221" s="635" t="s">
        <v>1515</v>
      </c>
      <c r="B221" s="635">
        <v>117</v>
      </c>
      <c r="C221" s="636">
        <v>665</v>
      </c>
      <c r="D221" s="636">
        <v>77805</v>
      </c>
      <c r="E221" s="603"/>
    </row>
    <row r="222" spans="1:5" x14ac:dyDescent="0.3">
      <c r="A222" s="635" t="s">
        <v>1514</v>
      </c>
      <c r="B222" s="635">
        <v>112.26</v>
      </c>
      <c r="C222" s="636">
        <v>658</v>
      </c>
      <c r="D222" s="636">
        <v>73867.08</v>
      </c>
      <c r="E222" s="603"/>
    </row>
    <row r="223" spans="1:5" x14ac:dyDescent="0.3">
      <c r="A223" s="635" t="s">
        <v>1513</v>
      </c>
      <c r="B223" s="635">
        <v>112.18</v>
      </c>
      <c r="C223" s="636">
        <v>590</v>
      </c>
      <c r="D223" s="636">
        <v>66186.2</v>
      </c>
      <c r="E223" s="603"/>
    </row>
    <row r="224" spans="1:5" x14ac:dyDescent="0.3">
      <c r="A224" s="635" t="s">
        <v>1512</v>
      </c>
      <c r="B224" s="635">
        <v>108.49</v>
      </c>
      <c r="C224" s="636">
        <v>665</v>
      </c>
      <c r="D224" s="636">
        <v>72145.849999999991</v>
      </c>
      <c r="E224" s="603"/>
    </row>
    <row r="225" spans="1:5" x14ac:dyDescent="0.3">
      <c r="A225" s="635" t="s">
        <v>1511</v>
      </c>
      <c r="B225" s="635">
        <v>104.18</v>
      </c>
      <c r="C225" s="636">
        <v>1571</v>
      </c>
      <c r="D225" s="636">
        <v>163666.78</v>
      </c>
      <c r="E225" s="603"/>
    </row>
    <row r="226" spans="1:5" x14ac:dyDescent="0.3">
      <c r="A226" s="635" t="s">
        <v>1510</v>
      </c>
      <c r="B226" s="635">
        <v>104.04</v>
      </c>
      <c r="C226" s="636">
        <v>694</v>
      </c>
      <c r="D226" s="636">
        <v>72203.760000000009</v>
      </c>
      <c r="E226" s="603"/>
    </row>
    <row r="227" spans="1:5" x14ac:dyDescent="0.3">
      <c r="A227" s="635" t="s">
        <v>1509</v>
      </c>
      <c r="B227" s="635">
        <v>109.15</v>
      </c>
      <c r="C227" s="636">
        <v>794</v>
      </c>
      <c r="D227" s="636">
        <v>86665.1</v>
      </c>
      <c r="E227" s="603"/>
    </row>
    <row r="228" spans="1:5" x14ac:dyDescent="0.3">
      <c r="A228" s="635" t="s">
        <v>1508</v>
      </c>
      <c r="B228" s="635">
        <v>114.6</v>
      </c>
      <c r="C228" s="636">
        <v>1821</v>
      </c>
      <c r="D228" s="636">
        <v>208686.6</v>
      </c>
      <c r="E228" s="603"/>
    </row>
    <row r="229" spans="1:5" x14ac:dyDescent="0.3">
      <c r="A229" s="635" t="s">
        <v>1507</v>
      </c>
      <c r="B229" s="635">
        <v>114.97</v>
      </c>
      <c r="C229" s="636">
        <v>890</v>
      </c>
      <c r="D229" s="636">
        <v>102323.3</v>
      </c>
      <c r="E229" s="603"/>
    </row>
    <row r="230" spans="1:5" x14ac:dyDescent="0.3">
      <c r="A230" s="635" t="s">
        <v>1506</v>
      </c>
      <c r="B230" s="635">
        <v>112.53</v>
      </c>
      <c r="C230" s="636">
        <v>3759</v>
      </c>
      <c r="D230" s="636">
        <v>423000.27</v>
      </c>
      <c r="E230" s="603"/>
    </row>
    <row r="231" spans="1:5" x14ac:dyDescent="0.3">
      <c r="A231" s="635" t="s">
        <v>1505</v>
      </c>
      <c r="B231" s="635">
        <v>112.6</v>
      </c>
      <c r="C231" s="636">
        <v>250</v>
      </c>
      <c r="D231" s="636">
        <v>28150</v>
      </c>
      <c r="E231" s="603"/>
    </row>
    <row r="232" spans="1:5" x14ac:dyDescent="0.3">
      <c r="A232" s="635" t="s">
        <v>1504</v>
      </c>
      <c r="B232" s="635">
        <v>126.5</v>
      </c>
      <c r="C232" s="636">
        <v>5295</v>
      </c>
      <c r="D232" s="636">
        <v>669817.5</v>
      </c>
      <c r="E232" s="603"/>
    </row>
    <row r="233" spans="1:5" x14ac:dyDescent="0.3">
      <c r="A233" s="635" t="s">
        <v>1503</v>
      </c>
      <c r="B233" s="635">
        <v>145.86000000000001</v>
      </c>
      <c r="C233" s="636">
        <v>8961</v>
      </c>
      <c r="D233" s="636">
        <v>1307051.46</v>
      </c>
      <c r="E233" s="603"/>
    </row>
    <row r="234" spans="1:5" x14ac:dyDescent="0.3">
      <c r="A234" s="635" t="s">
        <v>1502</v>
      </c>
      <c r="B234" s="635">
        <v>142.07</v>
      </c>
      <c r="C234" s="636">
        <v>1138</v>
      </c>
      <c r="D234" s="636">
        <v>161675.66</v>
      </c>
      <c r="E234" s="603"/>
    </row>
    <row r="235" spans="1:5" x14ac:dyDescent="0.3">
      <c r="A235" s="635" t="s">
        <v>1501</v>
      </c>
      <c r="B235" s="635">
        <v>136.56</v>
      </c>
      <c r="C235" s="636">
        <v>3320</v>
      </c>
      <c r="D235" s="636">
        <v>453379.2</v>
      </c>
      <c r="E235" s="603"/>
    </row>
    <row r="236" spans="1:5" x14ac:dyDescent="0.3">
      <c r="A236" s="635" t="s">
        <v>1500</v>
      </c>
      <c r="B236" s="635">
        <v>133.41</v>
      </c>
      <c r="C236" s="636">
        <v>900</v>
      </c>
      <c r="D236" s="636">
        <v>120069</v>
      </c>
      <c r="E236" s="603"/>
    </row>
    <row r="237" spans="1:5" x14ac:dyDescent="0.3">
      <c r="A237" s="635" t="s">
        <v>1499</v>
      </c>
      <c r="B237" s="635">
        <v>142.55000000000001</v>
      </c>
      <c r="C237" s="636">
        <v>2825</v>
      </c>
      <c r="D237" s="636">
        <v>402703.75000000012</v>
      </c>
      <c r="E237" s="603"/>
    </row>
    <row r="238" spans="1:5" x14ac:dyDescent="0.3">
      <c r="A238" s="635" t="s">
        <v>1498</v>
      </c>
      <c r="B238" s="635">
        <v>134.91</v>
      </c>
      <c r="C238" s="636">
        <v>2023</v>
      </c>
      <c r="D238" s="636">
        <v>272922.93</v>
      </c>
      <c r="E238" s="603"/>
    </row>
    <row r="239" spans="1:5" x14ac:dyDescent="0.3">
      <c r="A239" s="635" t="s">
        <v>1497</v>
      </c>
      <c r="B239" s="635">
        <v>140.88</v>
      </c>
      <c r="C239" s="636">
        <v>2334</v>
      </c>
      <c r="D239" s="636">
        <v>328813.92</v>
      </c>
      <c r="E239" s="603"/>
    </row>
    <row r="240" spans="1:5" x14ac:dyDescent="0.3">
      <c r="A240" s="635" t="s">
        <v>1496</v>
      </c>
      <c r="B240" s="635">
        <v>155.47</v>
      </c>
      <c r="C240" s="636">
        <v>8968</v>
      </c>
      <c r="D240" s="636">
        <v>1394254.96</v>
      </c>
      <c r="E240" s="603"/>
    </row>
    <row r="241" spans="1:5" x14ac:dyDescent="0.3">
      <c r="A241" s="635" t="s">
        <v>1495</v>
      </c>
      <c r="B241" s="635">
        <v>151.94</v>
      </c>
      <c r="C241" s="636">
        <v>1068</v>
      </c>
      <c r="D241" s="636">
        <v>162271.92000000001</v>
      </c>
      <c r="E241" s="603"/>
    </row>
    <row r="242" spans="1:5" x14ac:dyDescent="0.3">
      <c r="A242" s="635" t="s">
        <v>1494</v>
      </c>
      <c r="B242" s="635">
        <v>152.03</v>
      </c>
      <c r="C242" s="636">
        <v>1621</v>
      </c>
      <c r="D242" s="636">
        <v>246440.63</v>
      </c>
      <c r="E242" s="603"/>
    </row>
    <row r="243" spans="1:5" x14ac:dyDescent="0.3">
      <c r="A243" s="635" t="s">
        <v>1493</v>
      </c>
      <c r="B243" s="635">
        <v>140.71</v>
      </c>
      <c r="C243" s="636">
        <v>908</v>
      </c>
      <c r="D243" s="636">
        <v>127764.68</v>
      </c>
      <c r="E243" s="603"/>
    </row>
    <row r="244" spans="1:5" x14ac:dyDescent="0.3">
      <c r="A244" s="635" t="s">
        <v>1492</v>
      </c>
      <c r="B244" s="635">
        <v>142.49</v>
      </c>
      <c r="C244" s="636">
        <v>500</v>
      </c>
      <c r="D244" s="636">
        <v>71245</v>
      </c>
      <c r="E244" s="603"/>
    </row>
    <row r="245" spans="1:5" x14ac:dyDescent="0.3">
      <c r="A245" s="635" t="s">
        <v>1491</v>
      </c>
      <c r="B245" s="635">
        <v>139.02000000000001</v>
      </c>
      <c r="C245" s="636">
        <v>540</v>
      </c>
      <c r="D245" s="636">
        <v>75070.8</v>
      </c>
      <c r="E245" s="603"/>
    </row>
    <row r="246" spans="1:5" x14ac:dyDescent="0.3">
      <c r="A246" s="635" t="s">
        <v>1490</v>
      </c>
      <c r="B246" s="635">
        <v>139.53</v>
      </c>
      <c r="C246" s="636">
        <v>204</v>
      </c>
      <c r="D246" s="636">
        <v>28464.12</v>
      </c>
      <c r="E246" s="603"/>
    </row>
    <row r="247" spans="1:5" x14ac:dyDescent="0.3">
      <c r="A247" s="635" t="s">
        <v>1489</v>
      </c>
      <c r="B247" s="635">
        <v>127.36</v>
      </c>
      <c r="C247" s="636">
        <v>610</v>
      </c>
      <c r="D247" s="636">
        <v>77689.600000000006</v>
      </c>
      <c r="E247" s="603"/>
    </row>
    <row r="248" spans="1:5" x14ac:dyDescent="0.3">
      <c r="A248" s="635" t="s">
        <v>1488</v>
      </c>
      <c r="B248" s="635">
        <v>127.36</v>
      </c>
      <c r="C248" s="636">
        <v>25</v>
      </c>
      <c r="D248" s="636">
        <v>3184</v>
      </c>
      <c r="E248" s="603"/>
    </row>
    <row r="249" spans="1:5" x14ac:dyDescent="0.3">
      <c r="A249" s="635" t="s">
        <v>1487</v>
      </c>
      <c r="B249" s="635">
        <v>132.44</v>
      </c>
      <c r="C249" s="636">
        <v>292</v>
      </c>
      <c r="D249" s="636">
        <v>38672.480000000003</v>
      </c>
      <c r="E249" s="603"/>
    </row>
    <row r="250" spans="1:5" x14ac:dyDescent="0.3">
      <c r="A250" s="635" t="s">
        <v>1486</v>
      </c>
      <c r="B250" s="635">
        <v>131.87</v>
      </c>
      <c r="C250" s="636">
        <v>895</v>
      </c>
      <c r="D250" s="636">
        <v>118023.65</v>
      </c>
      <c r="E250" s="603"/>
    </row>
    <row r="251" spans="1:5" x14ac:dyDescent="0.3">
      <c r="A251" s="635" t="s">
        <v>1485</v>
      </c>
      <c r="B251" s="635">
        <v>105</v>
      </c>
      <c r="C251" s="636">
        <v>100</v>
      </c>
      <c r="D251" s="636">
        <v>10500</v>
      </c>
      <c r="E251" s="603"/>
    </row>
    <row r="252" spans="1:5" x14ac:dyDescent="0.3">
      <c r="A252" s="635" t="s">
        <v>1484</v>
      </c>
      <c r="B252" s="635">
        <v>105</v>
      </c>
      <c r="C252" s="636">
        <v>12</v>
      </c>
      <c r="D252" s="636">
        <v>1260</v>
      </c>
      <c r="E252" s="603"/>
    </row>
    <row r="253" spans="1:5" x14ac:dyDescent="0.3">
      <c r="A253" s="635" t="s">
        <v>1483</v>
      </c>
      <c r="B253" s="635">
        <v>125.12</v>
      </c>
      <c r="C253" s="636">
        <v>100</v>
      </c>
      <c r="D253" s="636">
        <v>12512</v>
      </c>
      <c r="E253" s="603"/>
    </row>
    <row r="254" spans="1:5" x14ac:dyDescent="0.3">
      <c r="A254" s="635" t="s">
        <v>1482</v>
      </c>
      <c r="B254" s="635">
        <v>133.5</v>
      </c>
      <c r="C254" s="636">
        <v>100</v>
      </c>
      <c r="D254" s="636">
        <v>13350</v>
      </c>
      <c r="E254" s="603"/>
    </row>
    <row r="255" spans="1:5" x14ac:dyDescent="0.3">
      <c r="A255" s="635" t="s">
        <v>1481</v>
      </c>
      <c r="B255" s="635">
        <v>147.19</v>
      </c>
      <c r="C255" s="636">
        <v>4027</v>
      </c>
      <c r="D255" s="636">
        <v>592734.13</v>
      </c>
      <c r="E255" s="603"/>
    </row>
    <row r="256" spans="1:5" x14ac:dyDescent="0.3">
      <c r="A256" s="635" t="s">
        <v>1480</v>
      </c>
      <c r="B256" s="635">
        <v>147.5</v>
      </c>
      <c r="C256" s="636">
        <v>780</v>
      </c>
      <c r="D256" s="636">
        <v>115050</v>
      </c>
      <c r="E256" s="603"/>
    </row>
    <row r="257" spans="1:5" x14ac:dyDescent="0.3">
      <c r="A257" s="635" t="s">
        <v>1479</v>
      </c>
      <c r="B257" s="635">
        <v>148.41999999999999</v>
      </c>
      <c r="C257" s="636">
        <v>1292</v>
      </c>
      <c r="D257" s="636">
        <v>191758.64</v>
      </c>
      <c r="E257" s="603"/>
    </row>
    <row r="258" spans="1:5" x14ac:dyDescent="0.3">
      <c r="A258" s="635" t="s">
        <v>1478</v>
      </c>
      <c r="B258" s="635">
        <v>149.32</v>
      </c>
      <c r="C258" s="636">
        <v>316</v>
      </c>
      <c r="D258" s="636">
        <v>47185.120000000003</v>
      </c>
      <c r="E258" s="603"/>
    </row>
    <row r="259" spans="1:5" x14ac:dyDescent="0.3">
      <c r="A259" s="635" t="s">
        <v>1477</v>
      </c>
      <c r="B259" s="635">
        <v>140.83000000000001</v>
      </c>
      <c r="C259" s="636">
        <v>1200</v>
      </c>
      <c r="D259" s="636">
        <v>168996</v>
      </c>
      <c r="E259" s="603"/>
    </row>
    <row r="260" spans="1:5" x14ac:dyDescent="0.3">
      <c r="A260" s="635" t="s">
        <v>1476</v>
      </c>
      <c r="B260" s="635">
        <v>142.65</v>
      </c>
      <c r="C260" s="636">
        <v>160</v>
      </c>
      <c r="D260" s="636">
        <v>22824</v>
      </c>
      <c r="E260" s="603"/>
    </row>
    <row r="261" spans="1:5" x14ac:dyDescent="0.3">
      <c r="A261" s="635" t="s">
        <v>1475</v>
      </c>
      <c r="B261" s="635">
        <v>138.19</v>
      </c>
      <c r="C261" s="636">
        <v>1195</v>
      </c>
      <c r="D261" s="636">
        <v>165137.04999999999</v>
      </c>
      <c r="E261" s="603"/>
    </row>
    <row r="262" spans="1:5" x14ac:dyDescent="0.3">
      <c r="A262" s="635" t="s">
        <v>1474</v>
      </c>
      <c r="B262" s="635">
        <v>146.61000000000001</v>
      </c>
      <c r="C262" s="636">
        <v>317</v>
      </c>
      <c r="D262" s="636">
        <v>46475.37</v>
      </c>
      <c r="E262" s="603"/>
    </row>
    <row r="263" spans="1:5" x14ac:dyDescent="0.3">
      <c r="A263" s="635" t="s">
        <v>1473</v>
      </c>
      <c r="B263" s="635">
        <v>146.65</v>
      </c>
      <c r="C263" s="636">
        <v>1328</v>
      </c>
      <c r="D263" s="636">
        <v>194751.2</v>
      </c>
      <c r="E263" s="603"/>
    </row>
    <row r="264" spans="1:5" x14ac:dyDescent="0.3">
      <c r="A264" s="635" t="s">
        <v>1472</v>
      </c>
      <c r="B264" s="635">
        <v>154.54</v>
      </c>
      <c r="C264" s="636">
        <v>3194</v>
      </c>
      <c r="D264" s="636">
        <v>493600.76</v>
      </c>
      <c r="E264" s="603"/>
    </row>
    <row r="265" spans="1:5" x14ac:dyDescent="0.3">
      <c r="A265" s="635" t="s">
        <v>1471</v>
      </c>
      <c r="B265" s="635">
        <v>150.31</v>
      </c>
      <c r="C265" s="636">
        <v>300</v>
      </c>
      <c r="D265" s="636">
        <v>45093</v>
      </c>
      <c r="E265" s="603"/>
    </row>
    <row r="266" spans="1:5" x14ac:dyDescent="0.3">
      <c r="A266" s="635" t="s">
        <v>1470</v>
      </c>
      <c r="B266" s="635">
        <v>152.46</v>
      </c>
      <c r="C266" s="636">
        <v>1605</v>
      </c>
      <c r="D266" s="636">
        <v>244698.3</v>
      </c>
      <c r="E266" s="603"/>
    </row>
    <row r="267" spans="1:5" x14ac:dyDescent="0.3">
      <c r="A267" s="635" t="s">
        <v>1469</v>
      </c>
      <c r="B267" s="635">
        <v>150.11000000000001</v>
      </c>
      <c r="C267" s="636">
        <v>636</v>
      </c>
      <c r="D267" s="636">
        <v>95469.96</v>
      </c>
      <c r="E267" s="603"/>
    </row>
    <row r="268" spans="1:5" x14ac:dyDescent="0.3">
      <c r="A268" s="635" t="s">
        <v>1468</v>
      </c>
      <c r="B268" s="635">
        <v>150.11000000000001</v>
      </c>
      <c r="C268" s="636">
        <v>78</v>
      </c>
      <c r="D268" s="636">
        <v>11708.58</v>
      </c>
      <c r="E268" s="603"/>
    </row>
    <row r="269" spans="1:5" x14ac:dyDescent="0.3">
      <c r="A269" s="635" t="s">
        <v>1467</v>
      </c>
      <c r="B269" s="635">
        <v>143.49</v>
      </c>
      <c r="C269" s="636">
        <v>338</v>
      </c>
      <c r="D269" s="636">
        <v>48499.62</v>
      </c>
      <c r="E269" s="603"/>
    </row>
    <row r="270" spans="1:5" x14ac:dyDescent="0.3">
      <c r="A270" s="635" t="s">
        <v>1466</v>
      </c>
      <c r="B270" s="635">
        <v>144.9</v>
      </c>
      <c r="C270" s="636">
        <v>892</v>
      </c>
      <c r="D270" s="636">
        <v>129250.8</v>
      </c>
      <c r="E270" s="603"/>
    </row>
    <row r="271" spans="1:5" x14ac:dyDescent="0.3">
      <c r="A271" s="635" t="s">
        <v>1465</v>
      </c>
      <c r="B271" s="635">
        <v>140.52000000000001</v>
      </c>
      <c r="C271" s="636">
        <v>137</v>
      </c>
      <c r="D271" s="636">
        <v>19251.240000000002</v>
      </c>
      <c r="E271" s="603"/>
    </row>
    <row r="272" spans="1:5" x14ac:dyDescent="0.3">
      <c r="A272" s="635" t="s">
        <v>1464</v>
      </c>
      <c r="B272" s="635">
        <v>140.9</v>
      </c>
      <c r="C272" s="636">
        <v>270</v>
      </c>
      <c r="D272" s="636">
        <v>38043</v>
      </c>
      <c r="E272" s="603"/>
    </row>
    <row r="273" spans="1:5" x14ac:dyDescent="0.3">
      <c r="A273" s="635" t="s">
        <v>1463</v>
      </c>
      <c r="B273" s="635">
        <v>140</v>
      </c>
      <c r="C273" s="636">
        <v>100</v>
      </c>
      <c r="D273" s="636">
        <v>14000</v>
      </c>
      <c r="E273" s="603"/>
    </row>
    <row r="274" spans="1:5" x14ac:dyDescent="0.3">
      <c r="A274" s="635" t="s">
        <v>1462</v>
      </c>
      <c r="B274" s="635">
        <v>157.09</v>
      </c>
      <c r="C274" s="636">
        <v>1420</v>
      </c>
      <c r="D274" s="636">
        <v>223067.8</v>
      </c>
      <c r="E274" s="603"/>
    </row>
    <row r="275" spans="1:5" x14ac:dyDescent="0.3">
      <c r="A275" s="635" t="s">
        <v>1461</v>
      </c>
      <c r="B275" s="635">
        <v>168.03</v>
      </c>
      <c r="C275" s="636">
        <v>2615</v>
      </c>
      <c r="D275" s="636">
        <v>439398.45</v>
      </c>
      <c r="E275" s="603"/>
    </row>
    <row r="276" spans="1:5" x14ac:dyDescent="0.3">
      <c r="A276" s="635" t="s">
        <v>1460</v>
      </c>
      <c r="B276" s="635">
        <v>181.79</v>
      </c>
      <c r="C276" s="636">
        <v>3387</v>
      </c>
      <c r="D276" s="636">
        <v>615722.73</v>
      </c>
      <c r="E276" s="603"/>
    </row>
    <row r="277" spans="1:5" x14ac:dyDescent="0.3">
      <c r="A277" s="635" t="s">
        <v>1459</v>
      </c>
      <c r="B277" s="635">
        <v>169.62</v>
      </c>
      <c r="C277" s="636">
        <v>1341</v>
      </c>
      <c r="D277" s="636">
        <v>227460.42</v>
      </c>
      <c r="E277" s="603"/>
    </row>
    <row r="278" spans="1:5" x14ac:dyDescent="0.3">
      <c r="A278" s="635" t="s">
        <v>1458</v>
      </c>
      <c r="B278" s="635">
        <v>165.98</v>
      </c>
      <c r="C278" s="636">
        <v>1582</v>
      </c>
      <c r="D278" s="636">
        <v>262580.36</v>
      </c>
      <c r="E278" s="603"/>
    </row>
    <row r="279" spans="1:5" x14ac:dyDescent="0.3">
      <c r="A279" s="635" t="s">
        <v>1457</v>
      </c>
      <c r="B279" s="635">
        <v>159.69</v>
      </c>
      <c r="C279" s="636">
        <v>359</v>
      </c>
      <c r="D279" s="636">
        <v>57328.71</v>
      </c>
      <c r="E279" s="603"/>
    </row>
    <row r="280" spans="1:5" x14ac:dyDescent="0.3">
      <c r="A280" s="635" t="s">
        <v>1456</v>
      </c>
      <c r="B280" s="635">
        <v>154.51</v>
      </c>
      <c r="C280" s="636">
        <v>1653</v>
      </c>
      <c r="D280" s="636">
        <v>255405.03</v>
      </c>
      <c r="E280" s="603"/>
    </row>
    <row r="281" spans="1:5" x14ac:dyDescent="0.3">
      <c r="A281" s="635" t="s">
        <v>1455</v>
      </c>
      <c r="B281" s="635">
        <v>153.04</v>
      </c>
      <c r="C281" s="636">
        <v>2110</v>
      </c>
      <c r="D281" s="636">
        <v>322914.40000000002</v>
      </c>
      <c r="E281" s="603"/>
    </row>
    <row r="282" spans="1:5" x14ac:dyDescent="0.3">
      <c r="A282" s="635" t="s">
        <v>1454</v>
      </c>
      <c r="B282" s="635">
        <v>153.63999999999999</v>
      </c>
      <c r="C282" s="636">
        <v>2022</v>
      </c>
      <c r="D282" s="636">
        <v>310660.08</v>
      </c>
      <c r="E282" s="603"/>
    </row>
    <row r="283" spans="1:5" x14ac:dyDescent="0.3">
      <c r="A283" s="635" t="s">
        <v>1453</v>
      </c>
      <c r="B283" s="635">
        <v>148.09</v>
      </c>
      <c r="C283" s="636">
        <v>992</v>
      </c>
      <c r="D283" s="636">
        <v>146905.28</v>
      </c>
      <c r="E283" s="603"/>
    </row>
    <row r="284" spans="1:5" x14ac:dyDescent="0.3">
      <c r="A284" s="635" t="s">
        <v>1452</v>
      </c>
      <c r="B284" s="635">
        <v>140.1</v>
      </c>
      <c r="C284" s="636">
        <v>1095</v>
      </c>
      <c r="D284" s="636">
        <v>153409.5</v>
      </c>
      <c r="E284" s="603"/>
    </row>
    <row r="285" spans="1:5" x14ac:dyDescent="0.3">
      <c r="A285" s="635" t="s">
        <v>1451</v>
      </c>
      <c r="B285" s="635">
        <v>138.12</v>
      </c>
      <c r="C285" s="636">
        <v>869</v>
      </c>
      <c r="D285" s="636">
        <v>120026.28</v>
      </c>
      <c r="E285" s="603"/>
    </row>
    <row r="286" spans="1:5" x14ac:dyDescent="0.3">
      <c r="A286" s="635" t="s">
        <v>1450</v>
      </c>
      <c r="B286" s="635">
        <v>139.04</v>
      </c>
      <c r="C286" s="636">
        <v>169</v>
      </c>
      <c r="D286" s="636">
        <v>23497.759999999998</v>
      </c>
      <c r="E286" s="603"/>
    </row>
    <row r="287" spans="1:5" x14ac:dyDescent="0.3">
      <c r="A287" s="635" t="s">
        <v>1449</v>
      </c>
      <c r="B287" s="635">
        <v>139.04</v>
      </c>
      <c r="C287" s="636">
        <v>50</v>
      </c>
      <c r="D287" s="636">
        <v>6952</v>
      </c>
      <c r="E287" s="603"/>
    </row>
    <row r="288" spans="1:5" x14ac:dyDescent="0.3">
      <c r="A288" s="635" t="s">
        <v>1448</v>
      </c>
      <c r="B288" s="635">
        <v>138.91</v>
      </c>
      <c r="C288" s="636">
        <v>460</v>
      </c>
      <c r="D288" s="636">
        <v>63898.6</v>
      </c>
      <c r="E288" s="603"/>
    </row>
    <row r="289" spans="1:5" x14ac:dyDescent="0.3">
      <c r="A289" s="635" t="s">
        <v>1447</v>
      </c>
      <c r="B289" s="635">
        <v>140</v>
      </c>
      <c r="C289" s="636">
        <v>250</v>
      </c>
      <c r="D289" s="636">
        <v>35000</v>
      </c>
      <c r="E289" s="603"/>
    </row>
    <row r="290" spans="1:5" x14ac:dyDescent="0.3">
      <c r="A290" s="635" t="s">
        <v>1446</v>
      </c>
      <c r="B290" s="635">
        <v>140</v>
      </c>
      <c r="C290" s="636">
        <v>8</v>
      </c>
      <c r="D290" s="636">
        <v>1120</v>
      </c>
      <c r="E290" s="603"/>
    </row>
    <row r="291" spans="1:5" x14ac:dyDescent="0.3">
      <c r="A291" s="635" t="s">
        <v>1445</v>
      </c>
      <c r="B291" s="635">
        <v>138.33000000000001</v>
      </c>
      <c r="C291" s="636">
        <v>130</v>
      </c>
      <c r="D291" s="636">
        <v>17982.900000000001</v>
      </c>
      <c r="E291" s="603"/>
    </row>
    <row r="292" spans="1:5" x14ac:dyDescent="0.3">
      <c r="A292" s="635" t="s">
        <v>1444</v>
      </c>
      <c r="B292" s="635">
        <v>144.18</v>
      </c>
      <c r="C292" s="636">
        <v>210</v>
      </c>
      <c r="D292" s="636">
        <v>30277.8</v>
      </c>
      <c r="E292" s="603"/>
    </row>
    <row r="293" spans="1:5" x14ac:dyDescent="0.3">
      <c r="A293" s="635" t="s">
        <v>1443</v>
      </c>
      <c r="B293" s="635">
        <v>137.07</v>
      </c>
      <c r="C293" s="636">
        <v>350</v>
      </c>
      <c r="D293" s="636">
        <v>47974.5</v>
      </c>
      <c r="E293" s="603"/>
    </row>
    <row r="294" spans="1:5" x14ac:dyDescent="0.3">
      <c r="A294" s="635" t="s">
        <v>1442</v>
      </c>
      <c r="B294" s="635">
        <v>130.37</v>
      </c>
      <c r="C294" s="636">
        <v>420</v>
      </c>
      <c r="D294" s="636">
        <v>54755.4</v>
      </c>
      <c r="E294" s="603"/>
    </row>
    <row r="295" spans="1:5" x14ac:dyDescent="0.3">
      <c r="A295" s="635" t="s">
        <v>1441</v>
      </c>
      <c r="B295" s="635">
        <v>130.37</v>
      </c>
      <c r="C295" s="636">
        <v>61</v>
      </c>
      <c r="D295" s="636">
        <v>7952.5700000000006</v>
      </c>
      <c r="E295" s="603"/>
    </row>
    <row r="296" spans="1:5" x14ac:dyDescent="0.3">
      <c r="A296" s="635" t="s">
        <v>1440</v>
      </c>
      <c r="B296" s="635">
        <v>135.24</v>
      </c>
      <c r="C296" s="636">
        <v>662</v>
      </c>
      <c r="D296" s="636">
        <v>89528.88</v>
      </c>
      <c r="E296" s="603"/>
    </row>
    <row r="297" spans="1:5" x14ac:dyDescent="0.3">
      <c r="A297" s="635" t="s">
        <v>1439</v>
      </c>
      <c r="B297" s="635">
        <v>138.01</v>
      </c>
      <c r="C297" s="636">
        <v>536</v>
      </c>
      <c r="D297" s="636">
        <v>73973.36</v>
      </c>
      <c r="E297" s="603"/>
    </row>
    <row r="298" spans="1:5" x14ac:dyDescent="0.3">
      <c r="A298" s="635" t="s">
        <v>1438</v>
      </c>
      <c r="B298" s="635">
        <v>138.22999999999999</v>
      </c>
      <c r="C298" s="636">
        <v>366</v>
      </c>
      <c r="D298" s="636">
        <v>50592.179999999993</v>
      </c>
      <c r="E298" s="603"/>
    </row>
    <row r="299" spans="1:5" x14ac:dyDescent="0.3">
      <c r="A299" s="635" t="s">
        <v>1437</v>
      </c>
      <c r="B299" s="635">
        <v>132.97</v>
      </c>
      <c r="C299" s="636">
        <v>331</v>
      </c>
      <c r="D299" s="636">
        <v>44013.07</v>
      </c>
      <c r="E299" s="603"/>
    </row>
    <row r="300" spans="1:5" x14ac:dyDescent="0.3">
      <c r="A300" s="635" t="s">
        <v>1436</v>
      </c>
      <c r="B300" s="635">
        <v>132.97</v>
      </c>
      <c r="C300" s="636">
        <v>98</v>
      </c>
      <c r="D300" s="636">
        <v>13031.06</v>
      </c>
      <c r="E300" s="603"/>
    </row>
    <row r="301" spans="1:5" x14ac:dyDescent="0.3">
      <c r="A301" s="635" t="s">
        <v>1435</v>
      </c>
      <c r="B301" s="635">
        <v>140.62</v>
      </c>
      <c r="C301" s="636">
        <v>488</v>
      </c>
      <c r="D301" s="636">
        <v>68622.559999999998</v>
      </c>
      <c r="E301" s="603"/>
    </row>
    <row r="302" spans="1:5" x14ac:dyDescent="0.3">
      <c r="A302" s="635" t="s">
        <v>1434</v>
      </c>
      <c r="B302" s="635">
        <v>138.38999999999999</v>
      </c>
      <c r="C302" s="636">
        <v>1830</v>
      </c>
      <c r="D302" s="636">
        <v>253253.7</v>
      </c>
      <c r="E302" s="603"/>
    </row>
    <row r="303" spans="1:5" x14ac:dyDescent="0.3">
      <c r="A303" s="635" t="s">
        <v>1433</v>
      </c>
      <c r="B303" s="635">
        <v>140.29</v>
      </c>
      <c r="C303" s="636">
        <v>549</v>
      </c>
      <c r="D303" s="636">
        <v>77019.209999999992</v>
      </c>
      <c r="E303" s="603"/>
    </row>
    <row r="304" spans="1:5" x14ac:dyDescent="0.3">
      <c r="A304" s="635" t="s">
        <v>1432</v>
      </c>
      <c r="B304" s="635">
        <v>131.78</v>
      </c>
      <c r="C304" s="636">
        <v>780</v>
      </c>
      <c r="D304" s="636">
        <v>102788.4</v>
      </c>
      <c r="E304" s="603"/>
    </row>
    <row r="305" spans="1:5" x14ac:dyDescent="0.3">
      <c r="A305" s="635" t="s">
        <v>1431</v>
      </c>
      <c r="B305" s="635">
        <v>133.36000000000001</v>
      </c>
      <c r="C305" s="636">
        <v>396</v>
      </c>
      <c r="D305" s="636">
        <v>52810.559999999998</v>
      </c>
      <c r="E305" s="603"/>
    </row>
    <row r="306" spans="1:5" x14ac:dyDescent="0.3">
      <c r="A306" s="635" t="s">
        <v>1430</v>
      </c>
      <c r="B306" s="635">
        <v>138.55000000000001</v>
      </c>
      <c r="C306" s="636">
        <v>105</v>
      </c>
      <c r="D306" s="636">
        <v>14547.75</v>
      </c>
      <c r="E306" s="603"/>
    </row>
    <row r="307" spans="1:5" x14ac:dyDescent="0.3">
      <c r="A307" s="635" t="s">
        <v>1429</v>
      </c>
      <c r="B307" s="635">
        <v>131.29</v>
      </c>
      <c r="C307" s="636">
        <v>1466</v>
      </c>
      <c r="D307" s="636">
        <v>192471.14</v>
      </c>
      <c r="E307" s="603"/>
    </row>
    <row r="308" spans="1:5" x14ac:dyDescent="0.3">
      <c r="A308" s="635" t="s">
        <v>1428</v>
      </c>
      <c r="B308" s="635">
        <v>136.55000000000001</v>
      </c>
      <c r="C308" s="636">
        <v>184</v>
      </c>
      <c r="D308" s="636">
        <v>25125.200000000001</v>
      </c>
      <c r="E308" s="603"/>
    </row>
    <row r="309" spans="1:5" x14ac:dyDescent="0.3">
      <c r="A309" s="635" t="s">
        <v>1427</v>
      </c>
      <c r="B309" s="635">
        <v>136.57</v>
      </c>
      <c r="C309" s="636">
        <v>151</v>
      </c>
      <c r="D309" s="636">
        <v>20622.07</v>
      </c>
      <c r="E309" s="603"/>
    </row>
    <row r="310" spans="1:5" x14ac:dyDescent="0.3">
      <c r="A310" s="635" t="s">
        <v>1426</v>
      </c>
      <c r="B310" s="635">
        <v>127.01</v>
      </c>
      <c r="C310" s="636">
        <v>100</v>
      </c>
      <c r="D310" s="636">
        <v>12701</v>
      </c>
      <c r="E310" s="603"/>
    </row>
    <row r="311" spans="1:5" x14ac:dyDescent="0.3">
      <c r="A311" s="635" t="s">
        <v>1425</v>
      </c>
      <c r="B311" s="635">
        <v>130.74</v>
      </c>
      <c r="C311" s="636">
        <v>208</v>
      </c>
      <c r="D311" s="636">
        <v>27193.919999999998</v>
      </c>
      <c r="E311" s="603"/>
    </row>
    <row r="312" spans="1:5" x14ac:dyDescent="0.3">
      <c r="A312" s="635" t="s">
        <v>1424</v>
      </c>
      <c r="B312" s="635">
        <v>130.26</v>
      </c>
      <c r="C312" s="636">
        <v>238</v>
      </c>
      <c r="D312" s="636">
        <v>31001.88</v>
      </c>
      <c r="E312" s="603"/>
    </row>
    <row r="313" spans="1:5" x14ac:dyDescent="0.3">
      <c r="A313" s="635" t="s">
        <v>1423</v>
      </c>
      <c r="B313" s="635">
        <v>132.13</v>
      </c>
      <c r="C313" s="636">
        <v>1785</v>
      </c>
      <c r="D313" s="636">
        <v>235852.05</v>
      </c>
      <c r="E313" s="603"/>
    </row>
    <row r="314" spans="1:5" x14ac:dyDescent="0.3">
      <c r="A314" s="635" t="s">
        <v>1422</v>
      </c>
      <c r="B314" s="635">
        <v>128.79</v>
      </c>
      <c r="C314" s="636">
        <v>1450</v>
      </c>
      <c r="D314" s="636">
        <v>186745.5</v>
      </c>
      <c r="E314" s="603"/>
    </row>
    <row r="315" spans="1:5" x14ac:dyDescent="0.3">
      <c r="A315" s="635" t="s">
        <v>1421</v>
      </c>
      <c r="B315" s="635">
        <v>125.7</v>
      </c>
      <c r="C315" s="636">
        <v>150</v>
      </c>
      <c r="D315" s="636">
        <v>18855</v>
      </c>
      <c r="E315" s="603"/>
    </row>
    <row r="316" spans="1:5" x14ac:dyDescent="0.3">
      <c r="A316" s="635" t="s">
        <v>1420</v>
      </c>
      <c r="B316" s="635">
        <v>124.48</v>
      </c>
      <c r="C316" s="636">
        <v>370</v>
      </c>
      <c r="D316" s="636">
        <v>46057.599999999999</v>
      </c>
      <c r="E316" s="603"/>
    </row>
    <row r="317" spans="1:5" x14ac:dyDescent="0.3">
      <c r="A317" s="635" t="s">
        <v>1419</v>
      </c>
      <c r="B317" s="635">
        <v>127.93</v>
      </c>
      <c r="C317" s="636">
        <v>1772</v>
      </c>
      <c r="D317" s="636">
        <v>226691.96</v>
      </c>
      <c r="E317" s="603"/>
    </row>
    <row r="318" spans="1:5" x14ac:dyDescent="0.3">
      <c r="A318" s="635" t="s">
        <v>1418</v>
      </c>
      <c r="B318" s="635">
        <v>121.62</v>
      </c>
      <c r="C318" s="636">
        <v>345</v>
      </c>
      <c r="D318" s="636">
        <v>41958.9</v>
      </c>
      <c r="E318" s="603"/>
    </row>
    <row r="319" spans="1:5" x14ac:dyDescent="0.3">
      <c r="A319" s="635" t="s">
        <v>1417</v>
      </c>
      <c r="B319" s="635">
        <v>115.67</v>
      </c>
      <c r="C319" s="636">
        <v>331</v>
      </c>
      <c r="D319" s="636">
        <v>38286.769999999997</v>
      </c>
      <c r="E319" s="603"/>
    </row>
    <row r="320" spans="1:5" x14ac:dyDescent="0.3">
      <c r="A320" s="635" t="s">
        <v>1416</v>
      </c>
      <c r="B320" s="635">
        <v>110.63</v>
      </c>
      <c r="C320" s="636">
        <v>310</v>
      </c>
      <c r="D320" s="636">
        <v>34295.300000000003</v>
      </c>
      <c r="E320" s="603"/>
    </row>
    <row r="321" spans="1:5" x14ac:dyDescent="0.3">
      <c r="A321" s="635" t="s">
        <v>1415</v>
      </c>
      <c r="B321" s="635">
        <v>110.63</v>
      </c>
      <c r="C321" s="636">
        <v>33</v>
      </c>
      <c r="D321" s="636">
        <v>3650.79</v>
      </c>
      <c r="E321" s="603"/>
    </row>
    <row r="322" spans="1:5" x14ac:dyDescent="0.3">
      <c r="A322" s="635" t="s">
        <v>1414</v>
      </c>
      <c r="B322" s="635">
        <v>115.11</v>
      </c>
      <c r="C322" s="636">
        <v>633</v>
      </c>
      <c r="D322" s="636">
        <v>72864.63</v>
      </c>
      <c r="E322" s="603"/>
    </row>
    <row r="323" spans="1:5" x14ac:dyDescent="0.3">
      <c r="A323" s="635" t="s">
        <v>1413</v>
      </c>
      <c r="B323" s="635">
        <v>115.11</v>
      </c>
      <c r="C323" s="636">
        <v>8</v>
      </c>
      <c r="D323" s="636">
        <v>920.88</v>
      </c>
      <c r="E323" s="603"/>
    </row>
    <row r="324" spans="1:5" x14ac:dyDescent="0.3">
      <c r="A324" s="635" t="s">
        <v>1412</v>
      </c>
      <c r="B324" s="635">
        <v>117.48</v>
      </c>
      <c r="C324" s="636">
        <v>510</v>
      </c>
      <c r="D324" s="636">
        <v>59914.8</v>
      </c>
      <c r="E324" s="603"/>
    </row>
    <row r="325" spans="1:5" x14ac:dyDescent="0.3">
      <c r="A325" s="635" t="s">
        <v>1411</v>
      </c>
      <c r="B325" s="635">
        <v>120</v>
      </c>
      <c r="C325" s="636">
        <v>700</v>
      </c>
      <c r="D325" s="636">
        <v>84000</v>
      </c>
      <c r="E325" s="603"/>
    </row>
    <row r="326" spans="1:5" x14ac:dyDescent="0.3">
      <c r="A326" s="635" t="s">
        <v>1410</v>
      </c>
      <c r="B326" s="635">
        <v>122.55</v>
      </c>
      <c r="C326" s="636">
        <v>350</v>
      </c>
      <c r="D326" s="636">
        <v>42892.5</v>
      </c>
      <c r="E326" s="603"/>
    </row>
    <row r="327" spans="1:5" x14ac:dyDescent="0.3">
      <c r="A327" s="635" t="s">
        <v>1409</v>
      </c>
      <c r="B327" s="635">
        <v>118.52</v>
      </c>
      <c r="C327" s="636">
        <v>200</v>
      </c>
      <c r="D327" s="636">
        <v>23704</v>
      </c>
      <c r="E327" s="603"/>
    </row>
    <row r="328" spans="1:5" x14ac:dyDescent="0.3">
      <c r="A328" s="635" t="s">
        <v>1408</v>
      </c>
      <c r="B328" s="635">
        <v>120</v>
      </c>
      <c r="C328" s="636">
        <v>492</v>
      </c>
      <c r="D328" s="636">
        <v>59040</v>
      </c>
      <c r="E328" s="603"/>
    </row>
    <row r="329" spans="1:5" x14ac:dyDescent="0.3">
      <c r="A329" s="635" t="s">
        <v>1407</v>
      </c>
      <c r="B329" s="635">
        <v>123.22</v>
      </c>
      <c r="C329" s="636">
        <v>110</v>
      </c>
      <c r="D329" s="636">
        <v>13554.2</v>
      </c>
      <c r="E329" s="603"/>
    </row>
    <row r="330" spans="1:5" x14ac:dyDescent="0.3">
      <c r="A330" s="635" t="s">
        <v>1406</v>
      </c>
      <c r="B330" s="635">
        <v>120</v>
      </c>
      <c r="C330" s="636">
        <v>100</v>
      </c>
      <c r="D330" s="636">
        <v>12000</v>
      </c>
      <c r="E330" s="603"/>
    </row>
    <row r="331" spans="1:5" x14ac:dyDescent="0.3">
      <c r="A331" s="635" t="s">
        <v>1405</v>
      </c>
      <c r="B331" s="635">
        <v>113.75</v>
      </c>
      <c r="C331" s="636">
        <v>240</v>
      </c>
      <c r="D331" s="636">
        <v>27300</v>
      </c>
      <c r="E331" s="603"/>
    </row>
    <row r="332" spans="1:5" x14ac:dyDescent="0.3">
      <c r="A332" s="635" t="s">
        <v>1404</v>
      </c>
      <c r="B332" s="635">
        <v>121.29</v>
      </c>
      <c r="C332" s="636">
        <v>450</v>
      </c>
      <c r="D332" s="636">
        <v>54580.5</v>
      </c>
      <c r="E332" s="603"/>
    </row>
    <row r="333" spans="1:5" x14ac:dyDescent="0.3">
      <c r="A333" s="635" t="s">
        <v>1403</v>
      </c>
      <c r="B333" s="635">
        <v>122.88</v>
      </c>
      <c r="C333" s="636">
        <v>110</v>
      </c>
      <c r="D333" s="636">
        <v>13516.8</v>
      </c>
      <c r="E333" s="603"/>
    </row>
    <row r="334" spans="1:5" x14ac:dyDescent="0.3">
      <c r="A334" s="635" t="s">
        <v>1402</v>
      </c>
      <c r="B334" s="635">
        <v>116.17</v>
      </c>
      <c r="C334" s="636">
        <v>153</v>
      </c>
      <c r="D334" s="636">
        <v>17774.009999999998</v>
      </c>
      <c r="E334" s="603"/>
    </row>
    <row r="335" spans="1:5" x14ac:dyDescent="0.3">
      <c r="A335" s="635" t="s">
        <v>1401</v>
      </c>
      <c r="B335" s="635">
        <v>113.76</v>
      </c>
      <c r="C335" s="636">
        <v>476</v>
      </c>
      <c r="D335" s="636">
        <v>54149.760000000002</v>
      </c>
      <c r="E335" s="603"/>
    </row>
    <row r="336" spans="1:5" x14ac:dyDescent="0.3">
      <c r="A336" s="635" t="s">
        <v>1400</v>
      </c>
      <c r="B336" s="635">
        <v>121.39</v>
      </c>
      <c r="C336" s="636">
        <v>100</v>
      </c>
      <c r="D336" s="636">
        <v>12139</v>
      </c>
      <c r="E336" s="603"/>
    </row>
    <row r="337" spans="1:5" x14ac:dyDescent="0.3">
      <c r="A337" s="635" t="s">
        <v>1399</v>
      </c>
      <c r="B337" s="635">
        <v>135.47999999999999</v>
      </c>
      <c r="C337" s="636">
        <v>13005</v>
      </c>
      <c r="D337" s="636">
        <v>1761917.4</v>
      </c>
      <c r="E337" s="603"/>
    </row>
    <row r="338" spans="1:5" x14ac:dyDescent="0.3">
      <c r="A338" s="635" t="s">
        <v>1398</v>
      </c>
      <c r="B338" s="635">
        <v>151.51</v>
      </c>
      <c r="C338" s="636">
        <v>9515</v>
      </c>
      <c r="D338" s="636">
        <v>1441617.65</v>
      </c>
      <c r="E338" s="603"/>
    </row>
    <row r="339" spans="1:5" x14ac:dyDescent="0.3">
      <c r="A339" s="635" t="s">
        <v>1397</v>
      </c>
      <c r="B339" s="635">
        <v>166.59</v>
      </c>
      <c r="C339" s="636">
        <v>25668</v>
      </c>
      <c r="D339" s="636">
        <v>4276032.12</v>
      </c>
      <c r="E339" s="603"/>
    </row>
    <row r="340" spans="1:5" x14ac:dyDescent="0.3">
      <c r="A340" s="635" t="s">
        <v>1396</v>
      </c>
      <c r="B340" s="635">
        <v>169.3</v>
      </c>
      <c r="C340" s="636">
        <v>3545</v>
      </c>
      <c r="D340" s="636">
        <v>600168.5</v>
      </c>
      <c r="E340" s="603"/>
    </row>
    <row r="341" spans="1:5" x14ac:dyDescent="0.3">
      <c r="A341" s="635" t="s">
        <v>1395</v>
      </c>
      <c r="B341" s="635">
        <v>149.36000000000001</v>
      </c>
      <c r="C341" s="636">
        <v>5662</v>
      </c>
      <c r="D341" s="636">
        <v>845676.32000000007</v>
      </c>
      <c r="E341" s="603"/>
    </row>
    <row r="342" spans="1:5" x14ac:dyDescent="0.3">
      <c r="A342" s="635" t="s">
        <v>1394</v>
      </c>
      <c r="B342" s="635">
        <v>143.35</v>
      </c>
      <c r="C342" s="636">
        <v>2087</v>
      </c>
      <c r="D342" s="636">
        <v>299171.45</v>
      </c>
      <c r="E342" s="603"/>
    </row>
    <row r="343" spans="1:5" x14ac:dyDescent="0.3">
      <c r="A343" s="635" t="s">
        <v>1393</v>
      </c>
      <c r="B343" s="635">
        <v>135.54</v>
      </c>
      <c r="C343" s="636">
        <v>751</v>
      </c>
      <c r="D343" s="636">
        <v>101790.54</v>
      </c>
      <c r="E343" s="603"/>
    </row>
    <row r="344" spans="1:5" x14ac:dyDescent="0.3">
      <c r="A344" s="635" t="s">
        <v>1392</v>
      </c>
      <c r="B344" s="635">
        <v>161.4</v>
      </c>
      <c r="C344" s="636">
        <v>16004</v>
      </c>
      <c r="D344" s="636">
        <v>2583045.6</v>
      </c>
      <c r="E344" s="603"/>
    </row>
    <row r="345" spans="1:5" x14ac:dyDescent="0.3">
      <c r="A345" s="635" t="s">
        <v>1391</v>
      </c>
      <c r="B345" s="635">
        <v>168.71</v>
      </c>
      <c r="C345" s="636">
        <v>10105</v>
      </c>
      <c r="D345" s="636">
        <v>1704814.55</v>
      </c>
      <c r="E345" s="603"/>
    </row>
    <row r="346" spans="1:5" x14ac:dyDescent="0.3">
      <c r="A346" s="635" t="s">
        <v>1390</v>
      </c>
      <c r="B346" s="635">
        <v>174.9</v>
      </c>
      <c r="C346" s="636">
        <v>19890</v>
      </c>
      <c r="D346" s="636">
        <v>3478761</v>
      </c>
      <c r="E346" s="603"/>
    </row>
    <row r="347" spans="1:5" x14ac:dyDescent="0.3">
      <c r="A347" s="635" t="s">
        <v>1389</v>
      </c>
      <c r="B347" s="635">
        <v>145.59</v>
      </c>
      <c r="C347" s="636">
        <v>3063</v>
      </c>
      <c r="D347" s="636">
        <v>445942.17</v>
      </c>
      <c r="E347" s="603"/>
    </row>
    <row r="348" spans="1:5" x14ac:dyDescent="0.3">
      <c r="A348" s="635" t="s">
        <v>1388</v>
      </c>
      <c r="B348" s="635">
        <v>133.61000000000001</v>
      </c>
      <c r="C348" s="636">
        <v>3975</v>
      </c>
      <c r="D348" s="636">
        <v>531099.75</v>
      </c>
      <c r="E348" s="603"/>
    </row>
    <row r="349" spans="1:5" x14ac:dyDescent="0.3">
      <c r="A349" s="635" t="s">
        <v>1387</v>
      </c>
      <c r="B349" s="635">
        <v>133.61000000000001</v>
      </c>
      <c r="C349" s="636">
        <v>40</v>
      </c>
      <c r="D349" s="636">
        <v>5344.4000000000005</v>
      </c>
      <c r="E349" s="603"/>
    </row>
    <row r="350" spans="1:5" x14ac:dyDescent="0.3">
      <c r="A350" s="635" t="s">
        <v>1386</v>
      </c>
      <c r="B350" s="635">
        <v>135.66999999999999</v>
      </c>
      <c r="C350" s="636">
        <v>1105</v>
      </c>
      <c r="D350" s="636">
        <v>149915.35</v>
      </c>
      <c r="E350" s="603"/>
    </row>
    <row r="351" spans="1:5" x14ac:dyDescent="0.3">
      <c r="A351" s="635" t="s">
        <v>1385</v>
      </c>
      <c r="B351" s="635">
        <v>128.41</v>
      </c>
      <c r="C351" s="636">
        <v>696</v>
      </c>
      <c r="D351" s="636">
        <v>89373.36</v>
      </c>
      <c r="E351" s="603"/>
    </row>
    <row r="352" spans="1:5" x14ac:dyDescent="0.3">
      <c r="A352" s="635" t="s">
        <v>1384</v>
      </c>
      <c r="B352" s="635">
        <v>121.49</v>
      </c>
      <c r="C352" s="636">
        <v>1310</v>
      </c>
      <c r="D352" s="636">
        <v>159151.9</v>
      </c>
      <c r="E352" s="603"/>
    </row>
    <row r="353" spans="1:5" x14ac:dyDescent="0.3">
      <c r="A353" s="635" t="s">
        <v>1383</v>
      </c>
      <c r="B353" s="635">
        <v>121.36</v>
      </c>
      <c r="C353" s="636">
        <v>1982</v>
      </c>
      <c r="D353" s="636">
        <v>240535.52</v>
      </c>
      <c r="E353" s="603"/>
    </row>
    <row r="354" spans="1:5" x14ac:dyDescent="0.3">
      <c r="A354" s="635" t="s">
        <v>1382</v>
      </c>
      <c r="B354" s="635">
        <v>117.01</v>
      </c>
      <c r="C354" s="636">
        <v>1010</v>
      </c>
      <c r="D354" s="636">
        <v>118180.1</v>
      </c>
      <c r="E354" s="603"/>
    </row>
    <row r="355" spans="1:5" x14ac:dyDescent="0.3">
      <c r="A355" s="635" t="s">
        <v>1381</v>
      </c>
      <c r="B355" s="635">
        <v>111.88</v>
      </c>
      <c r="C355" s="636">
        <v>400</v>
      </c>
      <c r="D355" s="636">
        <v>44752</v>
      </c>
      <c r="E355" s="603"/>
    </row>
    <row r="356" spans="1:5" x14ac:dyDescent="0.3">
      <c r="A356" s="635" t="s">
        <v>1380</v>
      </c>
      <c r="B356" s="635">
        <v>126.66</v>
      </c>
      <c r="C356" s="636">
        <v>440</v>
      </c>
      <c r="D356" s="636">
        <v>55730.400000000001</v>
      </c>
      <c r="E356" s="603"/>
    </row>
    <row r="357" spans="1:5" x14ac:dyDescent="0.3">
      <c r="A357" s="635" t="s">
        <v>1379</v>
      </c>
      <c r="B357" s="635">
        <v>134.04</v>
      </c>
      <c r="C357" s="636">
        <v>438</v>
      </c>
      <c r="D357" s="636">
        <v>58709.52</v>
      </c>
      <c r="E357" s="603"/>
    </row>
    <row r="358" spans="1:5" x14ac:dyDescent="0.3">
      <c r="A358" s="635" t="s">
        <v>1378</v>
      </c>
      <c r="B358" s="635">
        <v>111.57</v>
      </c>
      <c r="C358" s="636">
        <v>1318</v>
      </c>
      <c r="D358" s="636">
        <v>147049.26</v>
      </c>
      <c r="E358" s="603"/>
    </row>
    <row r="359" spans="1:5" x14ac:dyDescent="0.3">
      <c r="A359" s="635" t="s">
        <v>1377</v>
      </c>
      <c r="B359" s="635">
        <v>111.44</v>
      </c>
      <c r="C359" s="636">
        <v>450</v>
      </c>
      <c r="D359" s="636">
        <v>50148</v>
      </c>
      <c r="E359" s="603"/>
    </row>
    <row r="360" spans="1:5" x14ac:dyDescent="0.3">
      <c r="A360" s="635" t="s">
        <v>1376</v>
      </c>
      <c r="B360" s="635">
        <v>111.44</v>
      </c>
      <c r="C360" s="636">
        <v>46</v>
      </c>
      <c r="D360" s="636">
        <v>5126.24</v>
      </c>
      <c r="E360" s="603"/>
    </row>
    <row r="361" spans="1:5" x14ac:dyDescent="0.3">
      <c r="A361" s="635" t="s">
        <v>1375</v>
      </c>
      <c r="B361" s="635">
        <v>109.79</v>
      </c>
      <c r="C361" s="636">
        <v>345</v>
      </c>
      <c r="D361" s="636">
        <v>37877.550000000003</v>
      </c>
      <c r="E361" s="603"/>
    </row>
    <row r="362" spans="1:5" x14ac:dyDescent="0.3">
      <c r="A362" s="635" t="s">
        <v>1374</v>
      </c>
      <c r="B362" s="635">
        <v>109.91</v>
      </c>
      <c r="C362" s="636">
        <v>88</v>
      </c>
      <c r="D362" s="636">
        <v>9672.08</v>
      </c>
      <c r="E362" s="603"/>
    </row>
    <row r="363" spans="1:5" x14ac:dyDescent="0.3">
      <c r="A363" s="635" t="s">
        <v>1373</v>
      </c>
      <c r="B363" s="635">
        <v>109.17</v>
      </c>
      <c r="C363" s="636">
        <v>4556</v>
      </c>
      <c r="D363" s="636">
        <v>497378.52</v>
      </c>
      <c r="E363" s="603"/>
    </row>
    <row r="364" spans="1:5" x14ac:dyDescent="0.3">
      <c r="A364" s="635" t="s">
        <v>1372</v>
      </c>
      <c r="B364" s="635">
        <v>112.76</v>
      </c>
      <c r="C364" s="636">
        <v>335</v>
      </c>
      <c r="D364" s="636">
        <v>37774.6</v>
      </c>
      <c r="E364" s="603"/>
    </row>
    <row r="365" spans="1:5" x14ac:dyDescent="0.3">
      <c r="A365" s="635" t="s">
        <v>1371</v>
      </c>
      <c r="B365" s="635">
        <v>116.38</v>
      </c>
      <c r="C365" s="636">
        <v>1050</v>
      </c>
      <c r="D365" s="636">
        <v>122199</v>
      </c>
      <c r="E365" s="603"/>
    </row>
    <row r="366" spans="1:5" x14ac:dyDescent="0.3">
      <c r="A366" s="635" t="s">
        <v>1370</v>
      </c>
      <c r="B366" s="635">
        <v>106.41</v>
      </c>
      <c r="C366" s="636">
        <v>400</v>
      </c>
      <c r="D366" s="636">
        <v>42564</v>
      </c>
      <c r="E366" s="603"/>
    </row>
    <row r="367" spans="1:5" x14ac:dyDescent="0.3">
      <c r="A367" s="635" t="s">
        <v>1369</v>
      </c>
      <c r="B367" s="635">
        <v>111.5</v>
      </c>
      <c r="C367" s="636">
        <v>450</v>
      </c>
      <c r="D367" s="636">
        <v>50175</v>
      </c>
      <c r="E367" s="603"/>
    </row>
    <row r="368" spans="1:5" x14ac:dyDescent="0.3">
      <c r="A368" s="635" t="s">
        <v>1368</v>
      </c>
      <c r="B368" s="635">
        <v>111.5</v>
      </c>
      <c r="C368" s="636">
        <v>40</v>
      </c>
      <c r="D368" s="636">
        <v>4460</v>
      </c>
      <c r="E368" s="603"/>
    </row>
    <row r="369" spans="1:5" x14ac:dyDescent="0.3">
      <c r="A369" s="635" t="s">
        <v>1367</v>
      </c>
      <c r="B369" s="635">
        <v>106.11</v>
      </c>
      <c r="C369" s="636">
        <v>633</v>
      </c>
      <c r="D369" s="636">
        <v>67167.63</v>
      </c>
      <c r="E369" s="603"/>
    </row>
    <row r="370" spans="1:5" x14ac:dyDescent="0.3">
      <c r="A370" s="635" t="s">
        <v>1366</v>
      </c>
      <c r="B370" s="635">
        <v>100.09</v>
      </c>
      <c r="C370" s="636">
        <v>680</v>
      </c>
      <c r="D370" s="636">
        <v>68061.2</v>
      </c>
      <c r="E370" s="603"/>
    </row>
    <row r="371" spans="1:5" x14ac:dyDescent="0.3">
      <c r="A371" s="635" t="s">
        <v>1365</v>
      </c>
      <c r="B371" s="635">
        <v>102.73</v>
      </c>
      <c r="C371" s="636">
        <v>445</v>
      </c>
      <c r="D371" s="636">
        <v>45714.85</v>
      </c>
      <c r="E371" s="603"/>
    </row>
    <row r="372" spans="1:5" x14ac:dyDescent="0.3">
      <c r="A372" s="635" t="s">
        <v>1364</v>
      </c>
      <c r="B372" s="635">
        <v>104</v>
      </c>
      <c r="C372" s="636">
        <v>850</v>
      </c>
      <c r="D372" s="636">
        <v>88400</v>
      </c>
      <c r="E372" s="603"/>
    </row>
    <row r="373" spans="1:5" x14ac:dyDescent="0.3">
      <c r="A373" s="635" t="s">
        <v>1363</v>
      </c>
      <c r="B373" s="635">
        <v>105.79</v>
      </c>
      <c r="C373" s="636">
        <v>1016</v>
      </c>
      <c r="D373" s="636">
        <v>107482.64</v>
      </c>
      <c r="E373" s="603"/>
    </row>
    <row r="374" spans="1:5" x14ac:dyDescent="0.3">
      <c r="A374" s="635" t="s">
        <v>1362</v>
      </c>
      <c r="B374" s="635">
        <v>105.01</v>
      </c>
      <c r="C374" s="636">
        <v>778</v>
      </c>
      <c r="D374" s="636">
        <v>81697.78</v>
      </c>
      <c r="E374" s="603"/>
    </row>
    <row r="375" spans="1:5" x14ac:dyDescent="0.3">
      <c r="A375" s="635" t="s">
        <v>1361</v>
      </c>
      <c r="B375" s="635">
        <v>101.64</v>
      </c>
      <c r="C375" s="636">
        <v>420</v>
      </c>
      <c r="D375" s="636">
        <v>42688.800000000003</v>
      </c>
      <c r="E375" s="603"/>
    </row>
    <row r="376" spans="1:5" x14ac:dyDescent="0.3">
      <c r="A376" s="635" t="s">
        <v>1360</v>
      </c>
      <c r="B376" s="635">
        <v>99</v>
      </c>
      <c r="C376" s="636">
        <v>220</v>
      </c>
      <c r="D376" s="636">
        <v>21780</v>
      </c>
      <c r="E376" s="603"/>
    </row>
    <row r="377" spans="1:5" x14ac:dyDescent="0.3">
      <c r="A377" s="635" t="s">
        <v>1359</v>
      </c>
      <c r="B377" s="635">
        <v>105.7</v>
      </c>
      <c r="C377" s="636">
        <v>320</v>
      </c>
      <c r="D377" s="636">
        <v>33824</v>
      </c>
      <c r="E377" s="603"/>
    </row>
    <row r="378" spans="1:5" x14ac:dyDescent="0.3">
      <c r="A378" s="635" t="s">
        <v>1358</v>
      </c>
      <c r="B378" s="635">
        <v>100.11</v>
      </c>
      <c r="C378" s="636">
        <v>210</v>
      </c>
      <c r="D378" s="636">
        <v>21023.1</v>
      </c>
      <c r="E378" s="603"/>
    </row>
    <row r="379" spans="1:5" x14ac:dyDescent="0.3">
      <c r="A379" s="635" t="s">
        <v>1357</v>
      </c>
      <c r="B379" s="635">
        <v>101.14</v>
      </c>
      <c r="C379" s="636">
        <v>1500</v>
      </c>
      <c r="D379" s="636">
        <v>151710</v>
      </c>
      <c r="E379" s="603"/>
    </row>
    <row r="380" spans="1:5" x14ac:dyDescent="0.3">
      <c r="A380" s="635" t="s">
        <v>1356</v>
      </c>
      <c r="B380" s="635">
        <v>101.05</v>
      </c>
      <c r="C380" s="636">
        <v>390</v>
      </c>
      <c r="D380" s="636">
        <v>39409.5</v>
      </c>
      <c r="E380" s="603"/>
    </row>
    <row r="381" spans="1:5" x14ac:dyDescent="0.3">
      <c r="A381" s="635" t="s">
        <v>1355</v>
      </c>
      <c r="B381" s="635">
        <v>101.05</v>
      </c>
      <c r="C381" s="636">
        <v>80</v>
      </c>
      <c r="D381" s="636">
        <v>8084</v>
      </c>
      <c r="E381" s="603"/>
    </row>
    <row r="382" spans="1:5" x14ac:dyDescent="0.3">
      <c r="A382" s="635" t="s">
        <v>1354</v>
      </c>
      <c r="B382" s="635">
        <v>101.05</v>
      </c>
      <c r="C382" s="636">
        <v>32</v>
      </c>
      <c r="D382" s="636">
        <v>3233.6</v>
      </c>
      <c r="E382" s="603"/>
    </row>
    <row r="383" spans="1:5" x14ac:dyDescent="0.3">
      <c r="A383" s="635" t="s">
        <v>1353</v>
      </c>
      <c r="B383" s="635">
        <v>100.61</v>
      </c>
      <c r="C383" s="636">
        <v>1414</v>
      </c>
      <c r="D383" s="636">
        <v>142262.54</v>
      </c>
      <c r="E383" s="603"/>
    </row>
    <row r="384" spans="1:5" x14ac:dyDescent="0.3">
      <c r="A384" s="635" t="s">
        <v>1352</v>
      </c>
      <c r="B384" s="635">
        <v>101.67</v>
      </c>
      <c r="C384" s="636">
        <v>800</v>
      </c>
      <c r="D384" s="636">
        <v>81336</v>
      </c>
      <c r="E384" s="603"/>
    </row>
    <row r="385" spans="1:5" x14ac:dyDescent="0.3">
      <c r="A385" s="635" t="s">
        <v>1351</v>
      </c>
      <c r="B385" s="635">
        <v>103.58</v>
      </c>
      <c r="C385" s="636">
        <v>192</v>
      </c>
      <c r="D385" s="636">
        <v>19887.36</v>
      </c>
      <c r="E385" s="603"/>
    </row>
    <row r="386" spans="1:5" x14ac:dyDescent="0.3">
      <c r="A386" s="635" t="s">
        <v>1350</v>
      </c>
      <c r="B386" s="635">
        <v>102.2</v>
      </c>
      <c r="C386" s="636">
        <v>200</v>
      </c>
      <c r="D386" s="636">
        <v>20440</v>
      </c>
      <c r="E386" s="603"/>
    </row>
    <row r="387" spans="1:5" x14ac:dyDescent="0.3">
      <c r="A387" s="635" t="s">
        <v>1349</v>
      </c>
      <c r="B387" s="635">
        <v>103.4</v>
      </c>
      <c r="C387" s="636">
        <v>690</v>
      </c>
      <c r="D387" s="636">
        <v>71346</v>
      </c>
      <c r="E387" s="603"/>
    </row>
    <row r="388" spans="1:5" x14ac:dyDescent="0.3">
      <c r="A388" s="635" t="s">
        <v>1348</v>
      </c>
      <c r="B388" s="635">
        <v>98.13</v>
      </c>
      <c r="C388" s="636">
        <v>2972</v>
      </c>
      <c r="D388" s="636">
        <v>291642.36</v>
      </c>
      <c r="E388" s="603"/>
    </row>
    <row r="389" spans="1:5" x14ac:dyDescent="0.3">
      <c r="A389" s="635" t="s">
        <v>1347</v>
      </c>
      <c r="B389" s="635">
        <v>101.09</v>
      </c>
      <c r="C389" s="636">
        <v>330</v>
      </c>
      <c r="D389" s="636">
        <v>33359.699999999997</v>
      </c>
      <c r="E389" s="603"/>
    </row>
    <row r="390" spans="1:5" x14ac:dyDescent="0.3">
      <c r="A390" s="635" t="s">
        <v>1346</v>
      </c>
      <c r="B390" s="635">
        <v>100.93</v>
      </c>
      <c r="C390" s="636">
        <v>1120</v>
      </c>
      <c r="D390" s="636">
        <v>113041.60000000001</v>
      </c>
      <c r="E390" s="603"/>
    </row>
    <row r="391" spans="1:5" x14ac:dyDescent="0.3">
      <c r="A391" s="635" t="s">
        <v>1345</v>
      </c>
      <c r="B391" s="635">
        <v>99.88</v>
      </c>
      <c r="C391" s="636">
        <v>380</v>
      </c>
      <c r="D391" s="636">
        <v>37954.400000000001</v>
      </c>
      <c r="E391" s="603"/>
    </row>
    <row r="392" spans="1:5" x14ac:dyDescent="0.3">
      <c r="A392" s="635" t="s">
        <v>1344</v>
      </c>
      <c r="B392" s="635">
        <v>99.02</v>
      </c>
      <c r="C392" s="636">
        <v>465</v>
      </c>
      <c r="D392" s="636">
        <v>46044.3</v>
      </c>
      <c r="E392" s="603"/>
    </row>
    <row r="393" spans="1:5" x14ac:dyDescent="0.3">
      <c r="A393" s="635" t="s">
        <v>1343</v>
      </c>
      <c r="B393" s="635">
        <v>95.32</v>
      </c>
      <c r="C393" s="636">
        <v>321</v>
      </c>
      <c r="D393" s="636">
        <v>30597.72</v>
      </c>
      <c r="E393" s="603"/>
    </row>
    <row r="394" spans="1:5" x14ac:dyDescent="0.3">
      <c r="A394" s="635" t="s">
        <v>1342</v>
      </c>
      <c r="B394" s="635">
        <v>88.53</v>
      </c>
      <c r="C394" s="636">
        <v>395</v>
      </c>
      <c r="D394" s="636">
        <v>34969.35</v>
      </c>
      <c r="E394" s="603"/>
    </row>
    <row r="395" spans="1:5" x14ac:dyDescent="0.3">
      <c r="A395" s="635" t="s">
        <v>1341</v>
      </c>
      <c r="B395" s="635">
        <v>92.27</v>
      </c>
      <c r="C395" s="636">
        <v>1300</v>
      </c>
      <c r="D395" s="636">
        <v>119951</v>
      </c>
      <c r="E395" s="603"/>
    </row>
    <row r="396" spans="1:5" x14ac:dyDescent="0.3">
      <c r="A396" s="635" t="s">
        <v>1340</v>
      </c>
      <c r="B396" s="635">
        <v>92.27</v>
      </c>
      <c r="C396" s="636">
        <v>50</v>
      </c>
      <c r="D396" s="636">
        <v>4613.5</v>
      </c>
      <c r="E396" s="603"/>
    </row>
    <row r="397" spans="1:5" x14ac:dyDescent="0.3">
      <c r="A397" s="635" t="s">
        <v>1339</v>
      </c>
      <c r="B397" s="635">
        <v>89.92</v>
      </c>
      <c r="C397" s="636">
        <v>665</v>
      </c>
      <c r="D397" s="636">
        <v>59796.800000000003</v>
      </c>
      <c r="E397" s="603"/>
    </row>
    <row r="398" spans="1:5" x14ac:dyDescent="0.3">
      <c r="A398" s="635" t="s">
        <v>1338</v>
      </c>
      <c r="B398" s="635">
        <v>74.39</v>
      </c>
      <c r="C398" s="636">
        <v>300</v>
      </c>
      <c r="D398" s="636">
        <v>22317</v>
      </c>
      <c r="E398" s="603"/>
    </row>
    <row r="399" spans="1:5" x14ac:dyDescent="0.3">
      <c r="A399" s="635" t="s">
        <v>1337</v>
      </c>
      <c r="B399" s="635">
        <v>80</v>
      </c>
      <c r="C399" s="636">
        <v>200</v>
      </c>
      <c r="D399" s="636">
        <v>16000</v>
      </c>
      <c r="E399" s="603"/>
    </row>
    <row r="400" spans="1:5" x14ac:dyDescent="0.3">
      <c r="A400" s="635" t="s">
        <v>1336</v>
      </c>
      <c r="B400" s="635">
        <v>61.21</v>
      </c>
      <c r="C400" s="636">
        <v>500</v>
      </c>
      <c r="D400" s="636">
        <v>30605</v>
      </c>
      <c r="E400" s="603"/>
    </row>
    <row r="401" spans="1:5" x14ac:dyDescent="0.3">
      <c r="A401" s="635" t="s">
        <v>1335</v>
      </c>
      <c r="B401" s="635">
        <v>64.73</v>
      </c>
      <c r="C401" s="636">
        <v>483</v>
      </c>
      <c r="D401" s="636">
        <v>31264.59</v>
      </c>
      <c r="E401" s="603"/>
    </row>
    <row r="402" spans="1:5" x14ac:dyDescent="0.3">
      <c r="A402" s="635" t="s">
        <v>1334</v>
      </c>
      <c r="B402" s="635">
        <v>64.73</v>
      </c>
      <c r="C402" s="636">
        <v>97</v>
      </c>
      <c r="D402" s="636">
        <v>6278.81</v>
      </c>
      <c r="E402" s="603"/>
    </row>
    <row r="403" spans="1:5" x14ac:dyDescent="0.3">
      <c r="A403" s="635" t="s">
        <v>1333</v>
      </c>
      <c r="B403" s="635">
        <v>77.48</v>
      </c>
      <c r="C403" s="636">
        <v>355</v>
      </c>
      <c r="D403" s="636">
        <v>27505.4</v>
      </c>
      <c r="E403" s="603"/>
    </row>
    <row r="404" spans="1:5" x14ac:dyDescent="0.3">
      <c r="A404" s="635" t="s">
        <v>1332</v>
      </c>
      <c r="B404" s="635">
        <v>77.989999999999995</v>
      </c>
      <c r="C404" s="636">
        <v>570</v>
      </c>
      <c r="D404" s="636">
        <v>44454.3</v>
      </c>
      <c r="E404" s="603"/>
    </row>
    <row r="405" spans="1:5" x14ac:dyDescent="0.3">
      <c r="A405" s="635" t="s">
        <v>1331</v>
      </c>
      <c r="B405" s="635">
        <v>77.38</v>
      </c>
      <c r="C405" s="636">
        <v>200</v>
      </c>
      <c r="D405" s="636">
        <v>15476</v>
      </c>
      <c r="E405" s="603"/>
    </row>
    <row r="406" spans="1:5" x14ac:dyDescent="0.3">
      <c r="A406" s="635" t="s">
        <v>1330</v>
      </c>
      <c r="B406" s="635">
        <v>77.38</v>
      </c>
      <c r="C406" s="636">
        <v>22</v>
      </c>
      <c r="D406" s="636">
        <v>1702.36</v>
      </c>
      <c r="E406" s="603"/>
    </row>
    <row r="407" spans="1:5" x14ac:dyDescent="0.3">
      <c r="A407" s="635" t="s">
        <v>1329</v>
      </c>
      <c r="B407" s="635">
        <v>65.78</v>
      </c>
      <c r="C407" s="636">
        <v>200</v>
      </c>
      <c r="D407" s="636">
        <v>13156</v>
      </c>
      <c r="E407" s="603"/>
    </row>
    <row r="408" spans="1:5" x14ac:dyDescent="0.3">
      <c r="A408" s="635" t="s">
        <v>1328</v>
      </c>
      <c r="B408" s="635">
        <v>70</v>
      </c>
      <c r="C408" s="636">
        <v>360</v>
      </c>
      <c r="D408" s="636">
        <v>25200</v>
      </c>
      <c r="E408" s="603"/>
    </row>
    <row r="409" spans="1:5" x14ac:dyDescent="0.3">
      <c r="A409" s="635" t="s">
        <v>1327</v>
      </c>
      <c r="B409" s="635">
        <v>64.17</v>
      </c>
      <c r="C409" s="636">
        <v>1189</v>
      </c>
      <c r="D409" s="636">
        <v>76298.13</v>
      </c>
      <c r="E409" s="603"/>
    </row>
    <row r="410" spans="1:5" x14ac:dyDescent="0.3">
      <c r="A410" s="635" t="s">
        <v>1326</v>
      </c>
      <c r="B410" s="635">
        <v>67.37</v>
      </c>
      <c r="C410" s="636">
        <v>700</v>
      </c>
      <c r="D410" s="636">
        <v>47159</v>
      </c>
      <c r="E410" s="603"/>
    </row>
    <row r="411" spans="1:5" x14ac:dyDescent="0.3">
      <c r="A411" s="635" t="s">
        <v>1325</v>
      </c>
      <c r="B411" s="635">
        <v>61</v>
      </c>
      <c r="C411" s="636">
        <v>140</v>
      </c>
      <c r="D411" s="636">
        <v>8540</v>
      </c>
      <c r="E411" s="603"/>
    </row>
    <row r="412" spans="1:5" x14ac:dyDescent="0.3">
      <c r="A412" s="635" t="s">
        <v>1324</v>
      </c>
      <c r="B412" s="635">
        <v>61</v>
      </c>
      <c r="C412" s="636">
        <v>45</v>
      </c>
      <c r="D412" s="636">
        <v>2745</v>
      </c>
      <c r="E412" s="603"/>
    </row>
    <row r="413" spans="1:5" x14ac:dyDescent="0.3">
      <c r="A413" s="635" t="s">
        <v>1323</v>
      </c>
      <c r="B413" s="635">
        <v>68.540000000000006</v>
      </c>
      <c r="C413" s="636">
        <v>2916</v>
      </c>
      <c r="D413" s="636">
        <v>199862.64</v>
      </c>
      <c r="E413" s="603"/>
    </row>
    <row r="414" spans="1:5" x14ac:dyDescent="0.3">
      <c r="A414" s="635" t="s">
        <v>1322</v>
      </c>
      <c r="B414" s="635">
        <v>67.959999999999994</v>
      </c>
      <c r="C414" s="636">
        <v>733</v>
      </c>
      <c r="D414" s="636">
        <v>49814.679999999993</v>
      </c>
      <c r="E414" s="603"/>
    </row>
    <row r="415" spans="1:5" x14ac:dyDescent="0.3">
      <c r="A415" s="635" t="s">
        <v>1321</v>
      </c>
      <c r="B415" s="635">
        <v>65</v>
      </c>
      <c r="C415" s="636">
        <v>365</v>
      </c>
      <c r="D415" s="636">
        <v>23725</v>
      </c>
      <c r="E415" s="603"/>
    </row>
    <row r="416" spans="1:5" x14ac:dyDescent="0.3">
      <c r="A416" s="635" t="s">
        <v>1320</v>
      </c>
      <c r="B416" s="635">
        <v>74</v>
      </c>
      <c r="C416" s="636">
        <v>708</v>
      </c>
      <c r="D416" s="636">
        <v>52392</v>
      </c>
      <c r="E416" s="603"/>
    </row>
    <row r="417" spans="1:5" x14ac:dyDescent="0.3">
      <c r="A417" s="635" t="s">
        <v>1319</v>
      </c>
      <c r="B417" s="635">
        <v>79.37</v>
      </c>
      <c r="C417" s="636">
        <v>525</v>
      </c>
      <c r="D417" s="636">
        <v>41669.25</v>
      </c>
      <c r="E417" s="603"/>
    </row>
    <row r="418" spans="1:5" x14ac:dyDescent="0.3">
      <c r="A418" s="635" t="s">
        <v>1318</v>
      </c>
      <c r="B418" s="635">
        <v>90</v>
      </c>
      <c r="C418" s="636">
        <v>220</v>
      </c>
      <c r="D418" s="636">
        <v>19800</v>
      </c>
      <c r="E418" s="603"/>
    </row>
    <row r="419" spans="1:5" x14ac:dyDescent="0.3">
      <c r="A419" s="635" t="s">
        <v>1317</v>
      </c>
      <c r="B419" s="635">
        <v>78</v>
      </c>
      <c r="C419" s="636">
        <v>103</v>
      </c>
      <c r="D419" s="636">
        <v>8034</v>
      </c>
      <c r="E419" s="603"/>
    </row>
    <row r="420" spans="1:5" x14ac:dyDescent="0.3">
      <c r="A420" s="635" t="s">
        <v>1316</v>
      </c>
      <c r="B420" s="635">
        <v>78</v>
      </c>
      <c r="C420" s="636">
        <v>50</v>
      </c>
      <c r="D420" s="636">
        <v>3900</v>
      </c>
      <c r="E420" s="603"/>
    </row>
    <row r="421" spans="1:5" x14ac:dyDescent="0.3">
      <c r="A421" s="635" t="s">
        <v>1315</v>
      </c>
      <c r="B421" s="635">
        <v>78</v>
      </c>
      <c r="C421" s="636">
        <v>65</v>
      </c>
      <c r="D421" s="636">
        <v>5070</v>
      </c>
      <c r="E421" s="603"/>
    </row>
    <row r="422" spans="1:5" x14ac:dyDescent="0.3">
      <c r="A422" s="635" t="s">
        <v>1314</v>
      </c>
      <c r="B422" s="635">
        <v>75</v>
      </c>
      <c r="C422" s="636">
        <v>500</v>
      </c>
      <c r="D422" s="636">
        <v>37500</v>
      </c>
      <c r="E422" s="603"/>
    </row>
    <row r="423" spans="1:5" x14ac:dyDescent="0.3">
      <c r="A423" s="635" t="s">
        <v>1313</v>
      </c>
      <c r="B423" s="635">
        <v>64.599999999999994</v>
      </c>
      <c r="C423" s="636">
        <v>125</v>
      </c>
      <c r="D423" s="636">
        <v>8074.9999999999991</v>
      </c>
      <c r="E423" s="603"/>
    </row>
    <row r="424" spans="1:5" x14ac:dyDescent="0.3">
      <c r="A424" s="635" t="s">
        <v>1312</v>
      </c>
      <c r="B424" s="635">
        <v>64.599999999999994</v>
      </c>
      <c r="C424" s="636">
        <v>96</v>
      </c>
      <c r="D424" s="636">
        <v>6201.5999999999995</v>
      </c>
      <c r="E424" s="603"/>
    </row>
    <row r="425" spans="1:5" x14ac:dyDescent="0.3">
      <c r="A425" s="635" t="s">
        <v>1311</v>
      </c>
      <c r="B425" s="635">
        <v>70</v>
      </c>
      <c r="C425" s="636">
        <v>352</v>
      </c>
      <c r="D425" s="636">
        <v>24640</v>
      </c>
      <c r="E425" s="603"/>
    </row>
    <row r="426" spans="1:5" x14ac:dyDescent="0.3">
      <c r="A426" s="635" t="s">
        <v>1310</v>
      </c>
      <c r="B426" s="635">
        <v>69.55</v>
      </c>
      <c r="C426" s="636">
        <v>550</v>
      </c>
      <c r="D426" s="636">
        <v>38252.5</v>
      </c>
      <c r="E426" s="603"/>
    </row>
    <row r="427" spans="1:5" x14ac:dyDescent="0.3">
      <c r="A427" s="635" t="s">
        <v>1309</v>
      </c>
      <c r="B427" s="635">
        <v>69.55</v>
      </c>
      <c r="C427" s="636">
        <v>8</v>
      </c>
      <c r="D427" s="636">
        <v>556.4</v>
      </c>
      <c r="E427" s="603"/>
    </row>
    <row r="428" spans="1:5" x14ac:dyDescent="0.3">
      <c r="A428" s="635" t="s">
        <v>1308</v>
      </c>
      <c r="B428" s="635">
        <v>69.55</v>
      </c>
      <c r="C428" s="636">
        <v>65</v>
      </c>
      <c r="D428" s="636">
        <v>4520.75</v>
      </c>
      <c r="E428" s="603"/>
    </row>
    <row r="429" spans="1:5" x14ac:dyDescent="0.3">
      <c r="A429" s="635" t="s">
        <v>1307</v>
      </c>
      <c r="B429" s="635">
        <v>69.55</v>
      </c>
      <c r="C429" s="636">
        <v>8</v>
      </c>
      <c r="D429" s="636">
        <v>556.4</v>
      </c>
      <c r="E429" s="603"/>
    </row>
    <row r="430" spans="1:5" x14ac:dyDescent="0.3">
      <c r="A430" s="635" t="s">
        <v>1306</v>
      </c>
      <c r="B430" s="635">
        <v>69.55</v>
      </c>
      <c r="C430" s="636">
        <v>50</v>
      </c>
      <c r="D430" s="636">
        <v>3477.5</v>
      </c>
      <c r="E430" s="603"/>
    </row>
    <row r="431" spans="1:5" x14ac:dyDescent="0.3">
      <c r="A431" s="635" t="s">
        <v>1305</v>
      </c>
      <c r="B431" s="635">
        <v>70</v>
      </c>
      <c r="C431" s="636">
        <v>120</v>
      </c>
      <c r="D431" s="636">
        <v>8400</v>
      </c>
      <c r="E431" s="603"/>
    </row>
    <row r="432" spans="1:5" x14ac:dyDescent="0.3">
      <c r="A432" s="635" t="s">
        <v>1304</v>
      </c>
      <c r="B432" s="635">
        <v>72.989999999999995</v>
      </c>
      <c r="C432" s="636">
        <v>300</v>
      </c>
      <c r="D432" s="636">
        <v>21897</v>
      </c>
      <c r="E432" s="603"/>
    </row>
    <row r="433" spans="1:5" x14ac:dyDescent="0.3">
      <c r="A433" s="635" t="s">
        <v>1303</v>
      </c>
      <c r="B433" s="635">
        <v>70.13</v>
      </c>
      <c r="C433" s="636">
        <v>200</v>
      </c>
      <c r="D433" s="636">
        <v>14026</v>
      </c>
      <c r="E433" s="603"/>
    </row>
    <row r="434" spans="1:5" x14ac:dyDescent="0.3">
      <c r="A434" s="635" t="s">
        <v>1302</v>
      </c>
      <c r="B434" s="635">
        <v>70.98</v>
      </c>
      <c r="C434" s="636">
        <v>1100</v>
      </c>
      <c r="D434" s="636">
        <v>78078</v>
      </c>
      <c r="E434" s="603"/>
    </row>
    <row r="435" spans="1:5" x14ac:dyDescent="0.3">
      <c r="A435" s="635" t="s">
        <v>1301</v>
      </c>
      <c r="B435" s="635">
        <v>74.36</v>
      </c>
      <c r="C435" s="636">
        <v>150</v>
      </c>
      <c r="D435" s="636">
        <v>11154</v>
      </c>
      <c r="E435" s="603"/>
    </row>
    <row r="436" spans="1:5" x14ac:dyDescent="0.3">
      <c r="A436" s="635" t="s">
        <v>1300</v>
      </c>
      <c r="B436" s="635">
        <v>74.36</v>
      </c>
      <c r="C436" s="636">
        <v>55</v>
      </c>
      <c r="D436" s="636">
        <v>4089.8</v>
      </c>
      <c r="E436" s="603"/>
    </row>
    <row r="437" spans="1:5" x14ac:dyDescent="0.3">
      <c r="A437" s="635" t="s">
        <v>1299</v>
      </c>
      <c r="B437" s="635">
        <v>70</v>
      </c>
      <c r="C437" s="636">
        <v>1500</v>
      </c>
      <c r="D437" s="636">
        <v>105000</v>
      </c>
      <c r="E437" s="603"/>
    </row>
    <row r="438" spans="1:5" x14ac:dyDescent="0.3">
      <c r="A438" s="635" t="s">
        <v>1298</v>
      </c>
      <c r="B438" s="635">
        <v>70.22</v>
      </c>
      <c r="C438" s="636">
        <v>100</v>
      </c>
      <c r="D438" s="636">
        <v>7022</v>
      </c>
      <c r="E438" s="603"/>
    </row>
    <row r="439" spans="1:5" x14ac:dyDescent="0.3">
      <c r="A439" s="635" t="s">
        <v>1297</v>
      </c>
      <c r="B439" s="635">
        <v>75.97</v>
      </c>
      <c r="C439" s="636">
        <v>200</v>
      </c>
      <c r="D439" s="636">
        <v>15194</v>
      </c>
      <c r="E439" s="603"/>
    </row>
    <row r="440" spans="1:5" x14ac:dyDescent="0.3">
      <c r="A440" s="635" t="s">
        <v>1296</v>
      </c>
      <c r="B440" s="635">
        <v>88.99</v>
      </c>
      <c r="C440" s="636">
        <v>190</v>
      </c>
      <c r="D440" s="636">
        <v>16908.099999999999</v>
      </c>
      <c r="E440" s="603"/>
    </row>
    <row r="441" spans="1:5" x14ac:dyDescent="0.3">
      <c r="A441" s="635" t="s">
        <v>1295</v>
      </c>
      <c r="B441" s="635">
        <v>77.459999999999994</v>
      </c>
      <c r="C441" s="636">
        <v>110</v>
      </c>
      <c r="D441" s="636">
        <v>8520.5999999999985</v>
      </c>
      <c r="E441" s="603"/>
    </row>
    <row r="442" spans="1:5" x14ac:dyDescent="0.3">
      <c r="A442" s="635" t="s">
        <v>1294</v>
      </c>
      <c r="B442" s="635">
        <v>78.31</v>
      </c>
      <c r="C442" s="636">
        <v>1269</v>
      </c>
      <c r="D442" s="636">
        <v>99375.39</v>
      </c>
      <c r="E442" s="603"/>
    </row>
    <row r="443" spans="1:5" x14ac:dyDescent="0.3">
      <c r="A443" s="635" t="s">
        <v>1293</v>
      </c>
      <c r="B443" s="635">
        <v>78.31</v>
      </c>
      <c r="C443" s="636">
        <v>60</v>
      </c>
      <c r="D443" s="636">
        <v>4698.6000000000004</v>
      </c>
      <c r="E443" s="603"/>
    </row>
    <row r="444" spans="1:5" x14ac:dyDescent="0.3">
      <c r="A444" s="635" t="s">
        <v>1292</v>
      </c>
      <c r="B444" s="635">
        <v>77.06</v>
      </c>
      <c r="C444" s="636">
        <v>100</v>
      </c>
      <c r="D444" s="636">
        <v>7706</v>
      </c>
      <c r="E444" s="603"/>
    </row>
    <row r="445" spans="1:5" x14ac:dyDescent="0.3">
      <c r="A445" s="635" t="s">
        <v>1291</v>
      </c>
      <c r="B445" s="635">
        <v>77.06</v>
      </c>
      <c r="C445" s="636">
        <v>1</v>
      </c>
      <c r="D445" s="636">
        <v>77.06</v>
      </c>
      <c r="E445" s="603"/>
    </row>
    <row r="446" spans="1:5" x14ac:dyDescent="0.3">
      <c r="A446" s="635" t="s">
        <v>1290</v>
      </c>
      <c r="B446" s="635">
        <v>77.06</v>
      </c>
      <c r="C446" s="636">
        <v>90</v>
      </c>
      <c r="D446" s="636">
        <v>6935.4000000000005</v>
      </c>
      <c r="E446" s="603"/>
    </row>
    <row r="447" spans="1:5" x14ac:dyDescent="0.3">
      <c r="A447" s="635" t="s">
        <v>1289</v>
      </c>
      <c r="B447" s="635">
        <v>68</v>
      </c>
      <c r="C447" s="636">
        <v>110</v>
      </c>
      <c r="D447" s="636">
        <v>7480</v>
      </c>
      <c r="E447" s="603"/>
    </row>
    <row r="448" spans="1:5" x14ac:dyDescent="0.3">
      <c r="A448" s="635" t="s">
        <v>1288</v>
      </c>
      <c r="B448" s="635">
        <v>64.02</v>
      </c>
      <c r="C448" s="636">
        <v>298</v>
      </c>
      <c r="D448" s="636">
        <v>19077.96</v>
      </c>
      <c r="E448" s="603"/>
    </row>
    <row r="449" spans="1:5" x14ac:dyDescent="0.3">
      <c r="A449" s="635" t="s">
        <v>1287</v>
      </c>
      <c r="B449" s="635">
        <v>69.989999999999995</v>
      </c>
      <c r="C449" s="636">
        <v>316</v>
      </c>
      <c r="D449" s="636">
        <v>22116.84</v>
      </c>
      <c r="E449" s="603"/>
    </row>
    <row r="450" spans="1:5" x14ac:dyDescent="0.3">
      <c r="A450" s="635" t="s">
        <v>1286</v>
      </c>
      <c r="B450" s="635">
        <v>70</v>
      </c>
      <c r="C450" s="636">
        <v>210</v>
      </c>
      <c r="D450" s="636">
        <v>14700</v>
      </c>
      <c r="E450" s="603"/>
    </row>
    <row r="451" spans="1:5" x14ac:dyDescent="0.3">
      <c r="A451" s="635" t="s">
        <v>1285</v>
      </c>
      <c r="B451" s="635">
        <v>70</v>
      </c>
      <c r="C451" s="636">
        <v>1</v>
      </c>
      <c r="D451" s="636">
        <v>70</v>
      </c>
      <c r="E451" s="603"/>
    </row>
    <row r="452" spans="1:5" x14ac:dyDescent="0.3">
      <c r="A452" s="635" t="s">
        <v>1284</v>
      </c>
      <c r="B452" s="635">
        <v>70</v>
      </c>
      <c r="C452" s="636">
        <v>410</v>
      </c>
      <c r="D452" s="636">
        <v>28700</v>
      </c>
      <c r="E452" s="603"/>
    </row>
    <row r="453" spans="1:5" x14ac:dyDescent="0.3">
      <c r="A453" s="635" t="s">
        <v>1283</v>
      </c>
      <c r="B453" s="635">
        <v>74.5</v>
      </c>
      <c r="C453" s="636">
        <v>100</v>
      </c>
      <c r="D453" s="636">
        <v>7450</v>
      </c>
      <c r="E453" s="603"/>
    </row>
    <row r="454" spans="1:5" x14ac:dyDescent="0.3">
      <c r="A454" s="635" t="s">
        <v>1282</v>
      </c>
      <c r="B454" s="635">
        <v>70.150000000000006</v>
      </c>
      <c r="C454" s="636">
        <v>252</v>
      </c>
      <c r="D454" s="636">
        <v>17677.8</v>
      </c>
      <c r="E454" s="603"/>
    </row>
    <row r="455" spans="1:5" x14ac:dyDescent="0.3">
      <c r="A455" s="635" t="s">
        <v>1281</v>
      </c>
      <c r="B455" s="635">
        <v>70.150000000000006</v>
      </c>
      <c r="C455" s="636">
        <v>33</v>
      </c>
      <c r="D455" s="636">
        <v>2314.9499999999998</v>
      </c>
      <c r="E455" s="603"/>
    </row>
    <row r="456" spans="1:5" x14ac:dyDescent="0.3">
      <c r="A456" s="635" t="s">
        <v>1280</v>
      </c>
      <c r="B456" s="635">
        <v>69.930000000000007</v>
      </c>
      <c r="C456" s="636">
        <v>837</v>
      </c>
      <c r="D456" s="636">
        <v>58531.41</v>
      </c>
      <c r="E456" s="603"/>
    </row>
    <row r="457" spans="1:5" x14ac:dyDescent="0.3">
      <c r="A457" s="635" t="s">
        <v>1279</v>
      </c>
      <c r="B457" s="635">
        <v>75.17</v>
      </c>
      <c r="C457" s="636">
        <v>839</v>
      </c>
      <c r="D457" s="636">
        <v>63067.63</v>
      </c>
      <c r="E457" s="603"/>
    </row>
    <row r="458" spans="1:5" x14ac:dyDescent="0.3">
      <c r="A458" s="635" t="s">
        <v>1278</v>
      </c>
      <c r="B458" s="635">
        <v>71.38</v>
      </c>
      <c r="C458" s="636">
        <v>382</v>
      </c>
      <c r="D458" s="636">
        <v>27267.16</v>
      </c>
      <c r="E458" s="603"/>
    </row>
    <row r="459" spans="1:5" x14ac:dyDescent="0.3">
      <c r="A459" s="635" t="s">
        <v>1277</v>
      </c>
      <c r="B459" s="635">
        <v>108.18</v>
      </c>
      <c r="C459" s="636">
        <v>5954</v>
      </c>
      <c r="D459" s="636">
        <v>644103.72000000009</v>
      </c>
      <c r="E459" s="603"/>
    </row>
    <row r="460" spans="1:5" x14ac:dyDescent="0.3">
      <c r="A460" s="635" t="s">
        <v>1276</v>
      </c>
      <c r="B460" s="635">
        <v>107.18</v>
      </c>
      <c r="C460" s="636">
        <v>1984</v>
      </c>
      <c r="D460" s="636">
        <v>212645.12</v>
      </c>
      <c r="E460" s="603"/>
    </row>
    <row r="461" spans="1:5" x14ac:dyDescent="0.3">
      <c r="A461" s="635" t="s">
        <v>1275</v>
      </c>
      <c r="B461" s="635">
        <v>104.84</v>
      </c>
      <c r="C461" s="636">
        <v>1250</v>
      </c>
      <c r="D461" s="636">
        <v>131050</v>
      </c>
      <c r="E461" s="603"/>
    </row>
    <row r="462" spans="1:5" x14ac:dyDescent="0.3">
      <c r="A462" s="635" t="s">
        <v>1274</v>
      </c>
      <c r="B462" s="635">
        <v>93.56</v>
      </c>
      <c r="C462" s="636">
        <v>1070</v>
      </c>
      <c r="D462" s="636">
        <v>100109.2</v>
      </c>
      <c r="E462" s="603"/>
    </row>
    <row r="463" spans="1:5" x14ac:dyDescent="0.3">
      <c r="A463" s="635" t="s">
        <v>1273</v>
      </c>
      <c r="B463" s="635">
        <v>88.7</v>
      </c>
      <c r="C463" s="636">
        <v>779</v>
      </c>
      <c r="D463" s="636">
        <v>69097.3</v>
      </c>
      <c r="E463" s="603"/>
    </row>
    <row r="464" spans="1:5" x14ac:dyDescent="0.3">
      <c r="A464" s="635" t="s">
        <v>1272</v>
      </c>
      <c r="B464" s="635">
        <v>97.77</v>
      </c>
      <c r="C464" s="636">
        <v>1987</v>
      </c>
      <c r="D464" s="636">
        <v>194268.99</v>
      </c>
      <c r="E464" s="603"/>
    </row>
    <row r="465" spans="1:5" x14ac:dyDescent="0.3">
      <c r="A465" s="635" t="s">
        <v>1271</v>
      </c>
      <c r="B465" s="635">
        <v>93.64</v>
      </c>
      <c r="C465" s="636">
        <v>676</v>
      </c>
      <c r="D465" s="636">
        <v>63300.639999999999</v>
      </c>
      <c r="E465" s="603"/>
    </row>
    <row r="466" spans="1:5" x14ac:dyDescent="0.3">
      <c r="A466" s="635" t="s">
        <v>1270</v>
      </c>
      <c r="B466" s="635">
        <v>90.5</v>
      </c>
      <c r="C466" s="636">
        <v>421</v>
      </c>
      <c r="D466" s="636">
        <v>38100.5</v>
      </c>
      <c r="E466" s="603"/>
    </row>
    <row r="467" spans="1:5" x14ac:dyDescent="0.3">
      <c r="A467" s="635" t="s">
        <v>1269</v>
      </c>
      <c r="B467" s="635">
        <v>92.76</v>
      </c>
      <c r="C467" s="636">
        <v>891</v>
      </c>
      <c r="D467" s="636">
        <v>82649.16</v>
      </c>
      <c r="E467" s="603"/>
    </row>
    <row r="468" spans="1:5" x14ac:dyDescent="0.3">
      <c r="A468" s="635" t="s">
        <v>1268</v>
      </c>
      <c r="B468" s="635">
        <v>90.74</v>
      </c>
      <c r="C468" s="636">
        <v>546</v>
      </c>
      <c r="D468" s="636">
        <v>49544.039999999994</v>
      </c>
      <c r="E468" s="603"/>
    </row>
    <row r="469" spans="1:5" x14ac:dyDescent="0.3">
      <c r="A469" s="635" t="s">
        <v>1267</v>
      </c>
      <c r="B469" s="635">
        <v>93.95</v>
      </c>
      <c r="C469" s="636">
        <v>802</v>
      </c>
      <c r="D469" s="636">
        <v>75347.900000000009</v>
      </c>
      <c r="E469" s="603"/>
    </row>
    <row r="470" spans="1:5" x14ac:dyDescent="0.3">
      <c r="A470" s="635" t="s">
        <v>1266</v>
      </c>
      <c r="B470" s="635">
        <v>86.32</v>
      </c>
      <c r="C470" s="636">
        <v>4314</v>
      </c>
      <c r="D470" s="636">
        <v>372384.48</v>
      </c>
      <c r="E470" s="603"/>
    </row>
    <row r="471" spans="1:5" x14ac:dyDescent="0.3">
      <c r="A471" s="635" t="s">
        <v>1265</v>
      </c>
      <c r="B471" s="635">
        <v>92.11</v>
      </c>
      <c r="C471" s="636">
        <v>852</v>
      </c>
      <c r="D471" s="636">
        <v>78477.72</v>
      </c>
      <c r="E471" s="603"/>
    </row>
    <row r="472" spans="1:5" x14ac:dyDescent="0.3">
      <c r="A472" s="635" t="s">
        <v>1264</v>
      </c>
      <c r="B472" s="635">
        <v>89.39</v>
      </c>
      <c r="C472" s="636">
        <v>1081</v>
      </c>
      <c r="D472" s="636">
        <v>96630.59</v>
      </c>
      <c r="E472" s="603"/>
    </row>
    <row r="473" spans="1:5" x14ac:dyDescent="0.3">
      <c r="A473" s="635" t="s">
        <v>1263</v>
      </c>
      <c r="B473" s="635">
        <v>91.1</v>
      </c>
      <c r="C473" s="636">
        <v>274</v>
      </c>
      <c r="D473" s="636">
        <v>24961.4</v>
      </c>
      <c r="E473" s="603"/>
    </row>
    <row r="474" spans="1:5" x14ac:dyDescent="0.3">
      <c r="A474" s="635" t="s">
        <v>1262</v>
      </c>
      <c r="B474" s="635">
        <v>90.71</v>
      </c>
      <c r="C474" s="636">
        <v>553</v>
      </c>
      <c r="D474" s="636">
        <v>50162.63</v>
      </c>
      <c r="E474" s="603"/>
    </row>
    <row r="475" spans="1:5" x14ac:dyDescent="0.3">
      <c r="A475" s="635" t="s">
        <v>1261</v>
      </c>
      <c r="B475" s="635">
        <v>90.83</v>
      </c>
      <c r="C475" s="636">
        <v>671</v>
      </c>
      <c r="D475" s="636">
        <v>60946.93</v>
      </c>
      <c r="E475" s="603"/>
    </row>
    <row r="476" spans="1:5" x14ac:dyDescent="0.3">
      <c r="A476" s="635" t="s">
        <v>1260</v>
      </c>
      <c r="B476" s="635">
        <v>98.36</v>
      </c>
      <c r="C476" s="636">
        <v>3790</v>
      </c>
      <c r="D476" s="636">
        <v>372784.4</v>
      </c>
      <c r="E476" s="603"/>
    </row>
    <row r="477" spans="1:5" x14ac:dyDescent="0.3">
      <c r="A477" s="635" t="s">
        <v>1259</v>
      </c>
      <c r="B477" s="635">
        <v>94.91</v>
      </c>
      <c r="C477" s="636">
        <v>796</v>
      </c>
      <c r="D477" s="636">
        <v>75548.36</v>
      </c>
      <c r="E477" s="603"/>
    </row>
    <row r="478" spans="1:5" x14ac:dyDescent="0.3">
      <c r="A478" s="635" t="s">
        <v>1258</v>
      </c>
      <c r="B478" s="635">
        <v>87.31</v>
      </c>
      <c r="C478" s="636">
        <v>100</v>
      </c>
      <c r="D478" s="636">
        <v>8731</v>
      </c>
      <c r="E478" s="603"/>
    </row>
    <row r="479" spans="1:5" x14ac:dyDescent="0.3">
      <c r="A479" s="635" t="s">
        <v>1257</v>
      </c>
      <c r="B479" s="635">
        <v>90.62</v>
      </c>
      <c r="C479" s="636">
        <v>341</v>
      </c>
      <c r="D479" s="636">
        <v>30901.42</v>
      </c>
      <c r="E479" s="603"/>
    </row>
    <row r="480" spans="1:5" x14ac:dyDescent="0.3">
      <c r="A480" s="635" t="s">
        <v>1256</v>
      </c>
      <c r="B480" s="635">
        <v>93.95</v>
      </c>
      <c r="C480" s="636">
        <v>300</v>
      </c>
      <c r="D480" s="636">
        <v>28185</v>
      </c>
      <c r="E480" s="603"/>
    </row>
    <row r="481" spans="1:5" x14ac:dyDescent="0.3">
      <c r="A481" s="635" t="s">
        <v>1255</v>
      </c>
      <c r="B481" s="635">
        <v>99.43</v>
      </c>
      <c r="C481" s="636">
        <v>110</v>
      </c>
      <c r="D481" s="636">
        <v>10937.3</v>
      </c>
      <c r="E481" s="603"/>
    </row>
    <row r="482" spans="1:5" x14ac:dyDescent="0.3">
      <c r="A482" s="635" t="s">
        <v>1254</v>
      </c>
      <c r="B482" s="635">
        <v>100.54</v>
      </c>
      <c r="C482" s="636">
        <v>1050</v>
      </c>
      <c r="D482" s="636">
        <v>105567</v>
      </c>
      <c r="E482" s="603"/>
    </row>
    <row r="483" spans="1:5" x14ac:dyDescent="0.3">
      <c r="A483" s="635" t="s">
        <v>1253</v>
      </c>
      <c r="B483" s="635">
        <v>93.72</v>
      </c>
      <c r="C483" s="636">
        <v>655</v>
      </c>
      <c r="D483" s="636">
        <v>61386.6</v>
      </c>
      <c r="E483" s="603"/>
    </row>
    <row r="484" spans="1:5" x14ac:dyDescent="0.3">
      <c r="A484" s="635" t="s">
        <v>1252</v>
      </c>
      <c r="B484" s="635">
        <v>91.58</v>
      </c>
      <c r="C484" s="636">
        <v>150</v>
      </c>
      <c r="D484" s="636">
        <v>13737</v>
      </c>
      <c r="E484" s="603"/>
    </row>
    <row r="485" spans="1:5" x14ac:dyDescent="0.3">
      <c r="A485" s="635" t="s">
        <v>1251</v>
      </c>
      <c r="B485" s="635">
        <v>81.62</v>
      </c>
      <c r="C485" s="636">
        <v>285</v>
      </c>
      <c r="D485" s="636">
        <v>23261.7</v>
      </c>
      <c r="E485" s="603"/>
    </row>
    <row r="486" spans="1:5" x14ac:dyDescent="0.3">
      <c r="A486" s="635" t="s">
        <v>1250</v>
      </c>
      <c r="B486" s="635">
        <v>85.33</v>
      </c>
      <c r="C486" s="636">
        <v>363</v>
      </c>
      <c r="D486" s="636">
        <v>30974.79</v>
      </c>
      <c r="E486" s="603"/>
    </row>
    <row r="487" spans="1:5" x14ac:dyDescent="0.3">
      <c r="A487" s="635" t="s">
        <v>1249</v>
      </c>
      <c r="B487" s="635">
        <v>85.33</v>
      </c>
      <c r="C487" s="636">
        <v>50</v>
      </c>
      <c r="D487" s="636">
        <v>4266.5</v>
      </c>
      <c r="E487" s="603"/>
    </row>
    <row r="488" spans="1:5" x14ac:dyDescent="0.3">
      <c r="A488" s="635" t="s">
        <v>1248</v>
      </c>
      <c r="B488" s="635">
        <v>79.42</v>
      </c>
      <c r="C488" s="636">
        <v>238</v>
      </c>
      <c r="D488" s="636">
        <v>18901.96</v>
      </c>
      <c r="E488" s="603"/>
    </row>
    <row r="489" spans="1:5" x14ac:dyDescent="0.3">
      <c r="A489" s="635" t="s">
        <v>1247</v>
      </c>
      <c r="B489" s="635">
        <v>80.78</v>
      </c>
      <c r="C489" s="636">
        <v>316</v>
      </c>
      <c r="D489" s="636">
        <v>25526.48</v>
      </c>
      <c r="E489" s="603"/>
    </row>
    <row r="490" spans="1:5" x14ac:dyDescent="0.3">
      <c r="A490" s="635" t="s">
        <v>1246</v>
      </c>
      <c r="B490" s="635">
        <v>82.28</v>
      </c>
      <c r="C490" s="636">
        <v>539</v>
      </c>
      <c r="D490" s="636">
        <v>44348.92</v>
      </c>
      <c r="E490" s="603"/>
    </row>
    <row r="491" spans="1:5" x14ac:dyDescent="0.3">
      <c r="A491" s="635" t="s">
        <v>1245</v>
      </c>
      <c r="B491" s="635">
        <v>79.959999999999994</v>
      </c>
      <c r="C491" s="636">
        <v>190</v>
      </c>
      <c r="D491" s="636">
        <v>15192.4</v>
      </c>
      <c r="E491" s="603"/>
    </row>
    <row r="492" spans="1:5" x14ac:dyDescent="0.3">
      <c r="A492" s="635" t="s">
        <v>1244</v>
      </c>
      <c r="B492" s="635">
        <v>80.66</v>
      </c>
      <c r="C492" s="636">
        <v>160</v>
      </c>
      <c r="D492" s="636">
        <v>12905.6</v>
      </c>
      <c r="E492" s="603"/>
    </row>
    <row r="493" spans="1:5" x14ac:dyDescent="0.3">
      <c r="A493" s="635" t="s">
        <v>1243</v>
      </c>
      <c r="B493" s="635">
        <v>84.52</v>
      </c>
      <c r="C493" s="636">
        <v>549</v>
      </c>
      <c r="D493" s="636">
        <v>46401.48</v>
      </c>
      <c r="E493" s="603"/>
    </row>
    <row r="494" spans="1:5" x14ac:dyDescent="0.3">
      <c r="A494" s="635" t="s">
        <v>1242</v>
      </c>
      <c r="B494" s="635">
        <v>84.03</v>
      </c>
      <c r="C494" s="636">
        <v>1085</v>
      </c>
      <c r="D494" s="636">
        <v>91172.55</v>
      </c>
      <c r="E494" s="603"/>
    </row>
    <row r="495" spans="1:5" x14ac:dyDescent="0.3">
      <c r="A495" s="635" t="s">
        <v>1241</v>
      </c>
      <c r="B495" s="635">
        <v>84.03</v>
      </c>
      <c r="C495" s="636">
        <v>2</v>
      </c>
      <c r="D495" s="636">
        <v>168.06</v>
      </c>
      <c r="E495" s="603"/>
    </row>
    <row r="496" spans="1:5" x14ac:dyDescent="0.3">
      <c r="A496" s="635" t="s">
        <v>1240</v>
      </c>
      <c r="B496" s="635">
        <v>87.5</v>
      </c>
      <c r="C496" s="636">
        <v>110</v>
      </c>
      <c r="D496" s="636">
        <v>9625</v>
      </c>
      <c r="E496" s="603"/>
    </row>
    <row r="497" spans="1:5" x14ac:dyDescent="0.3">
      <c r="A497" s="635" t="s">
        <v>1239</v>
      </c>
      <c r="B497" s="635">
        <v>82.88</v>
      </c>
      <c r="C497" s="636">
        <v>457</v>
      </c>
      <c r="D497" s="636">
        <v>37876.160000000003</v>
      </c>
      <c r="E497" s="603"/>
    </row>
    <row r="498" spans="1:5" x14ac:dyDescent="0.3">
      <c r="A498" s="635" t="s">
        <v>1238</v>
      </c>
      <c r="B498" s="635">
        <v>81.92</v>
      </c>
      <c r="C498" s="636">
        <v>617</v>
      </c>
      <c r="D498" s="636">
        <v>50544.639999999999</v>
      </c>
      <c r="E498" s="603"/>
    </row>
    <row r="499" spans="1:5" x14ac:dyDescent="0.3">
      <c r="A499" s="635" t="s">
        <v>1237</v>
      </c>
      <c r="B499" s="635">
        <v>80</v>
      </c>
      <c r="C499" s="636">
        <v>425</v>
      </c>
      <c r="D499" s="636">
        <v>34000</v>
      </c>
      <c r="E499" s="603"/>
    </row>
    <row r="500" spans="1:5" x14ac:dyDescent="0.3">
      <c r="A500" s="635" t="s">
        <v>1236</v>
      </c>
      <c r="B500" s="635">
        <v>79.78</v>
      </c>
      <c r="C500" s="636">
        <v>745</v>
      </c>
      <c r="D500" s="636">
        <v>59436.1</v>
      </c>
      <c r="E500" s="603"/>
    </row>
    <row r="501" spans="1:5" x14ac:dyDescent="0.3">
      <c r="A501" s="635" t="s">
        <v>1235</v>
      </c>
      <c r="B501" s="635">
        <v>83.8</v>
      </c>
      <c r="C501" s="636">
        <v>405</v>
      </c>
      <c r="D501" s="636">
        <v>33939</v>
      </c>
      <c r="E501" s="603"/>
    </row>
    <row r="502" spans="1:5" x14ac:dyDescent="0.3">
      <c r="A502" s="635" t="s">
        <v>1234</v>
      </c>
      <c r="B502" s="635">
        <v>86.81</v>
      </c>
      <c r="C502" s="636">
        <v>570</v>
      </c>
      <c r="D502" s="636">
        <v>49481.7</v>
      </c>
      <c r="E502" s="603"/>
    </row>
    <row r="503" spans="1:5" x14ac:dyDescent="0.3">
      <c r="A503" s="635" t="s">
        <v>1233</v>
      </c>
      <c r="B503" s="635">
        <v>86.81</v>
      </c>
      <c r="C503" s="636">
        <v>40</v>
      </c>
      <c r="D503" s="636">
        <v>3472.4</v>
      </c>
      <c r="E503" s="603"/>
    </row>
    <row r="504" spans="1:5" x14ac:dyDescent="0.3">
      <c r="A504" s="635" t="s">
        <v>1232</v>
      </c>
      <c r="B504" s="635">
        <v>86.61</v>
      </c>
      <c r="C504" s="636">
        <v>862</v>
      </c>
      <c r="D504" s="636">
        <v>74657.819999999992</v>
      </c>
      <c r="E504" s="603"/>
    </row>
    <row r="505" spans="1:5" x14ac:dyDescent="0.3">
      <c r="A505" s="635" t="s">
        <v>1231</v>
      </c>
      <c r="B505" s="635">
        <v>82.84</v>
      </c>
      <c r="C505" s="636">
        <v>865</v>
      </c>
      <c r="D505" s="636">
        <v>71656.600000000006</v>
      </c>
      <c r="E505" s="603"/>
    </row>
    <row r="506" spans="1:5" x14ac:dyDescent="0.3">
      <c r="A506" s="635" t="s">
        <v>1230</v>
      </c>
      <c r="B506" s="635">
        <v>84.49</v>
      </c>
      <c r="C506" s="636">
        <v>151</v>
      </c>
      <c r="D506" s="636">
        <v>12757.99</v>
      </c>
      <c r="E506" s="603"/>
    </row>
    <row r="507" spans="1:5" x14ac:dyDescent="0.3">
      <c r="A507" s="635" t="s">
        <v>1229</v>
      </c>
      <c r="B507" s="635">
        <v>82</v>
      </c>
      <c r="C507" s="636">
        <v>1113</v>
      </c>
      <c r="D507" s="636">
        <v>91266</v>
      </c>
      <c r="E507" s="603"/>
    </row>
    <row r="508" spans="1:5" x14ac:dyDescent="0.3">
      <c r="A508" s="635" t="s">
        <v>1228</v>
      </c>
      <c r="B508" s="635">
        <v>83.86</v>
      </c>
      <c r="C508" s="636">
        <v>725</v>
      </c>
      <c r="D508" s="636">
        <v>60798.5</v>
      </c>
      <c r="E508" s="603"/>
    </row>
    <row r="509" spans="1:5" x14ac:dyDescent="0.3">
      <c r="A509" s="635" t="s">
        <v>1227</v>
      </c>
      <c r="B509" s="635">
        <v>88.02</v>
      </c>
      <c r="C509" s="636">
        <v>420</v>
      </c>
      <c r="D509" s="636">
        <v>36968.400000000001</v>
      </c>
      <c r="E509" s="603"/>
    </row>
    <row r="510" spans="1:5" x14ac:dyDescent="0.3">
      <c r="A510" s="635" t="s">
        <v>1226</v>
      </c>
      <c r="B510" s="635">
        <v>90.96</v>
      </c>
      <c r="C510" s="636">
        <v>1852</v>
      </c>
      <c r="D510" s="636">
        <v>168457.92</v>
      </c>
      <c r="E510" s="603"/>
    </row>
    <row r="511" spans="1:5" x14ac:dyDescent="0.3">
      <c r="A511" s="635" t="s">
        <v>1225</v>
      </c>
      <c r="B511" s="635">
        <v>106.5</v>
      </c>
      <c r="C511" s="636">
        <v>5710</v>
      </c>
      <c r="D511" s="636">
        <v>608115</v>
      </c>
      <c r="E511" s="603"/>
    </row>
    <row r="512" spans="1:5" x14ac:dyDescent="0.3">
      <c r="A512" s="635" t="s">
        <v>1224</v>
      </c>
      <c r="B512" s="635">
        <v>127.3</v>
      </c>
      <c r="C512" s="636">
        <v>9009</v>
      </c>
      <c r="D512" s="636">
        <v>1146845.7</v>
      </c>
      <c r="E512" s="603"/>
    </row>
    <row r="513" spans="1:5" x14ac:dyDescent="0.3">
      <c r="A513" s="635" t="s">
        <v>1223</v>
      </c>
      <c r="B513" s="635">
        <v>130.85</v>
      </c>
      <c r="C513" s="636">
        <v>2339</v>
      </c>
      <c r="D513" s="636">
        <v>306058.15000000002</v>
      </c>
      <c r="E513" s="603"/>
    </row>
    <row r="514" spans="1:5" x14ac:dyDescent="0.3">
      <c r="A514" s="635" t="s">
        <v>1222</v>
      </c>
      <c r="B514" s="635">
        <v>127.08</v>
      </c>
      <c r="C514" s="636">
        <v>4533</v>
      </c>
      <c r="D514" s="636">
        <v>576053.64</v>
      </c>
      <c r="E514" s="603"/>
    </row>
    <row r="515" spans="1:5" x14ac:dyDescent="0.3">
      <c r="A515" s="635" t="s">
        <v>1221</v>
      </c>
      <c r="B515" s="635">
        <v>120.94</v>
      </c>
      <c r="C515" s="636">
        <v>882</v>
      </c>
      <c r="D515" s="636">
        <v>106669.08</v>
      </c>
      <c r="E515" s="603"/>
    </row>
    <row r="516" spans="1:5" x14ac:dyDescent="0.3">
      <c r="A516" s="635" t="s">
        <v>1220</v>
      </c>
      <c r="B516" s="635">
        <v>115.08</v>
      </c>
      <c r="C516" s="636">
        <v>1077</v>
      </c>
      <c r="D516" s="636">
        <v>123941.16</v>
      </c>
      <c r="E516" s="603"/>
    </row>
    <row r="517" spans="1:5" x14ac:dyDescent="0.3">
      <c r="A517" s="635" t="s">
        <v>1219</v>
      </c>
      <c r="B517" s="635">
        <v>121.11</v>
      </c>
      <c r="C517" s="636">
        <v>3697</v>
      </c>
      <c r="D517" s="636">
        <v>447743.67</v>
      </c>
      <c r="E517" s="603"/>
    </row>
    <row r="518" spans="1:5" x14ac:dyDescent="0.3">
      <c r="A518" s="635" t="s">
        <v>1218</v>
      </c>
      <c r="B518" s="635">
        <v>122.56</v>
      </c>
      <c r="C518" s="636">
        <v>999</v>
      </c>
      <c r="D518" s="636">
        <v>122437.44</v>
      </c>
      <c r="E518" s="603"/>
    </row>
    <row r="519" spans="1:5" x14ac:dyDescent="0.3">
      <c r="A519" s="635" t="s">
        <v>1217</v>
      </c>
      <c r="B519" s="635">
        <v>117.65</v>
      </c>
      <c r="C519" s="636">
        <v>1353</v>
      </c>
      <c r="D519" s="636">
        <v>159180.45000000001</v>
      </c>
      <c r="E519" s="603"/>
    </row>
    <row r="520" spans="1:5" x14ac:dyDescent="0.3">
      <c r="A520" s="635" t="s">
        <v>1216</v>
      </c>
      <c r="B520" s="635">
        <v>113.7</v>
      </c>
      <c r="C520" s="636">
        <v>943</v>
      </c>
      <c r="D520" s="636">
        <v>107219.1</v>
      </c>
      <c r="E520" s="603"/>
    </row>
    <row r="521" spans="1:5" x14ac:dyDescent="0.3">
      <c r="A521" s="635" t="s">
        <v>1215</v>
      </c>
      <c r="B521" s="635">
        <v>125.27</v>
      </c>
      <c r="C521" s="636">
        <v>2375</v>
      </c>
      <c r="D521" s="636">
        <v>297516.25</v>
      </c>
      <c r="E521" s="603"/>
    </row>
    <row r="522" spans="1:5" x14ac:dyDescent="0.3">
      <c r="A522" s="635" t="s">
        <v>1214</v>
      </c>
      <c r="B522" s="635">
        <v>119.21</v>
      </c>
      <c r="C522" s="636">
        <v>2388</v>
      </c>
      <c r="D522" s="636">
        <v>284673.48</v>
      </c>
      <c r="E522" s="603"/>
    </row>
    <row r="523" spans="1:5" x14ac:dyDescent="0.3">
      <c r="A523" s="635" t="s">
        <v>1213</v>
      </c>
      <c r="B523" s="635">
        <v>119.8</v>
      </c>
      <c r="C523" s="636">
        <v>445</v>
      </c>
      <c r="D523" s="636">
        <v>53311</v>
      </c>
      <c r="E523" s="603"/>
    </row>
    <row r="524" spans="1:5" x14ac:dyDescent="0.3">
      <c r="A524" s="635" t="s">
        <v>1212</v>
      </c>
      <c r="B524" s="635">
        <v>116.21</v>
      </c>
      <c r="C524" s="636">
        <v>423</v>
      </c>
      <c r="D524" s="636">
        <v>49156.829999999987</v>
      </c>
      <c r="E524" s="603"/>
    </row>
    <row r="525" spans="1:5" x14ac:dyDescent="0.3">
      <c r="A525" s="635" t="s">
        <v>1211</v>
      </c>
      <c r="B525" s="635">
        <v>110.49</v>
      </c>
      <c r="C525" s="636">
        <v>740</v>
      </c>
      <c r="D525" s="636">
        <v>81762.599999999991</v>
      </c>
      <c r="E525" s="603"/>
    </row>
    <row r="526" spans="1:5" x14ac:dyDescent="0.3">
      <c r="A526" s="635" t="s">
        <v>1210</v>
      </c>
      <c r="B526" s="635">
        <v>117.27</v>
      </c>
      <c r="C526" s="636">
        <v>1055</v>
      </c>
      <c r="D526" s="636">
        <v>123719.85</v>
      </c>
      <c r="E526" s="603"/>
    </row>
    <row r="527" spans="1:5" x14ac:dyDescent="0.3">
      <c r="A527" s="635" t="s">
        <v>1209</v>
      </c>
      <c r="B527" s="635">
        <v>132.33000000000001</v>
      </c>
      <c r="C527" s="636">
        <v>9627</v>
      </c>
      <c r="D527" s="636">
        <v>1273940.9099999999</v>
      </c>
      <c r="E527" s="603"/>
    </row>
    <row r="528" spans="1:5" x14ac:dyDescent="0.3">
      <c r="A528" s="635" t="s">
        <v>1208</v>
      </c>
      <c r="B528" s="635">
        <v>153.09</v>
      </c>
      <c r="C528" s="636">
        <v>12606</v>
      </c>
      <c r="D528" s="636">
        <v>1929852.54</v>
      </c>
      <c r="E528" s="603"/>
    </row>
    <row r="529" spans="1:5" x14ac:dyDescent="0.3">
      <c r="A529" s="635" t="s">
        <v>1207</v>
      </c>
      <c r="B529" s="635">
        <v>154.41</v>
      </c>
      <c r="C529" s="636">
        <v>5445</v>
      </c>
      <c r="D529" s="636">
        <v>840762.45</v>
      </c>
      <c r="E529" s="603"/>
    </row>
    <row r="530" spans="1:5" x14ac:dyDescent="0.3">
      <c r="A530" s="635" t="s">
        <v>1206</v>
      </c>
      <c r="B530" s="635">
        <v>156.03</v>
      </c>
      <c r="C530" s="636">
        <v>2214</v>
      </c>
      <c r="D530" s="636">
        <v>345450.42</v>
      </c>
      <c r="E530" s="603"/>
    </row>
    <row r="531" spans="1:5" x14ac:dyDescent="0.3">
      <c r="A531" s="635" t="s">
        <v>1205</v>
      </c>
      <c r="B531" s="635">
        <v>163.28</v>
      </c>
      <c r="C531" s="636">
        <v>4831</v>
      </c>
      <c r="D531" s="636">
        <v>788805.68</v>
      </c>
      <c r="E531" s="603"/>
    </row>
    <row r="532" spans="1:5" x14ac:dyDescent="0.3">
      <c r="A532" s="635" t="s">
        <v>1204</v>
      </c>
      <c r="B532" s="635">
        <v>160.31</v>
      </c>
      <c r="C532" s="636">
        <v>6424</v>
      </c>
      <c r="D532" s="636">
        <v>1029831.44</v>
      </c>
      <c r="E532" s="603"/>
    </row>
    <row r="533" spans="1:5" x14ac:dyDescent="0.3">
      <c r="A533" s="635" t="s">
        <v>1203</v>
      </c>
      <c r="B533" s="635">
        <v>150.1</v>
      </c>
      <c r="C533" s="636">
        <v>3013</v>
      </c>
      <c r="D533" s="636">
        <v>452251.3</v>
      </c>
      <c r="E533" s="603"/>
    </row>
    <row r="534" spans="1:5" x14ac:dyDescent="0.3">
      <c r="A534" s="635" t="s">
        <v>1202</v>
      </c>
      <c r="B534" s="635">
        <v>143.46</v>
      </c>
      <c r="C534" s="636">
        <v>1927</v>
      </c>
      <c r="D534" s="636">
        <v>276447.42</v>
      </c>
      <c r="E534" s="603"/>
    </row>
    <row r="535" spans="1:5" x14ac:dyDescent="0.3">
      <c r="A535" s="635" t="s">
        <v>1201</v>
      </c>
      <c r="B535" s="635">
        <v>140.63999999999999</v>
      </c>
      <c r="C535" s="636">
        <v>3191</v>
      </c>
      <c r="D535" s="636">
        <v>448782.23999999987</v>
      </c>
      <c r="E535" s="603"/>
    </row>
    <row r="536" spans="1:5" x14ac:dyDescent="0.3">
      <c r="A536" s="635" t="s">
        <v>1200</v>
      </c>
      <c r="B536" s="635">
        <v>150.72</v>
      </c>
      <c r="C536" s="636">
        <v>3080</v>
      </c>
      <c r="D536" s="636">
        <v>464217.59999999998</v>
      </c>
      <c r="E536" s="603"/>
    </row>
    <row r="537" spans="1:5" x14ac:dyDescent="0.3">
      <c r="A537" s="635" t="s">
        <v>1199</v>
      </c>
      <c r="B537" s="635">
        <v>150.57</v>
      </c>
      <c r="C537" s="636">
        <v>340</v>
      </c>
      <c r="D537" s="636">
        <v>51193.8</v>
      </c>
      <c r="E537" s="603"/>
    </row>
    <row r="538" spans="1:5" x14ac:dyDescent="0.3">
      <c r="A538" s="635" t="s">
        <v>1198</v>
      </c>
      <c r="B538" s="635">
        <v>146.41</v>
      </c>
      <c r="C538" s="636">
        <v>1382</v>
      </c>
      <c r="D538" s="636">
        <v>202338.62</v>
      </c>
      <c r="E538" s="603"/>
    </row>
    <row r="539" spans="1:5" x14ac:dyDescent="0.3">
      <c r="A539" s="635" t="s">
        <v>1197</v>
      </c>
      <c r="B539" s="635">
        <v>158.41999999999999</v>
      </c>
      <c r="C539" s="636">
        <v>5953</v>
      </c>
      <c r="D539" s="636">
        <v>943074.25999999989</v>
      </c>
      <c r="E539" s="603"/>
    </row>
    <row r="540" spans="1:5" x14ac:dyDescent="0.3">
      <c r="A540" s="635" t="s">
        <v>1196</v>
      </c>
      <c r="B540" s="635">
        <v>152.52000000000001</v>
      </c>
      <c r="C540" s="636">
        <v>1639</v>
      </c>
      <c r="D540" s="636">
        <v>249980.28</v>
      </c>
      <c r="E540" s="603"/>
    </row>
    <row r="541" spans="1:5" x14ac:dyDescent="0.3">
      <c r="A541" s="635" t="s">
        <v>1195</v>
      </c>
      <c r="B541" s="635">
        <v>153.49</v>
      </c>
      <c r="C541" s="636">
        <v>1673</v>
      </c>
      <c r="D541" s="636">
        <v>256788.77</v>
      </c>
      <c r="E541" s="603"/>
    </row>
    <row r="542" spans="1:5" x14ac:dyDescent="0.3">
      <c r="A542" s="635" t="s">
        <v>1194</v>
      </c>
      <c r="B542" s="635">
        <v>153.80000000000001</v>
      </c>
      <c r="C542" s="636">
        <v>1067</v>
      </c>
      <c r="D542" s="636">
        <v>164104.6</v>
      </c>
      <c r="E542" s="603"/>
    </row>
    <row r="543" spans="1:5" x14ac:dyDescent="0.3">
      <c r="A543" s="635" t="s">
        <v>1193</v>
      </c>
      <c r="B543" s="635">
        <v>153.41</v>
      </c>
      <c r="C543" s="636">
        <v>3953</v>
      </c>
      <c r="D543" s="636">
        <v>606429.73</v>
      </c>
      <c r="E543" s="603"/>
    </row>
    <row r="544" spans="1:5" x14ac:dyDescent="0.3">
      <c r="A544" s="635" t="s">
        <v>1192</v>
      </c>
      <c r="B544" s="635">
        <v>151.08000000000001</v>
      </c>
      <c r="C544" s="636">
        <v>1320</v>
      </c>
      <c r="D544" s="636">
        <v>199425.6</v>
      </c>
      <c r="E544" s="603"/>
    </row>
    <row r="545" spans="1:5" x14ac:dyDescent="0.3">
      <c r="A545" s="635" t="s">
        <v>1191</v>
      </c>
      <c r="B545" s="635">
        <v>157.71</v>
      </c>
      <c r="C545" s="636">
        <v>4119</v>
      </c>
      <c r="D545" s="636">
        <v>649607.49</v>
      </c>
      <c r="E545" s="603"/>
    </row>
    <row r="546" spans="1:5" x14ac:dyDescent="0.3">
      <c r="A546" s="635" t="s">
        <v>1190</v>
      </c>
      <c r="B546" s="635">
        <v>153.66999999999999</v>
      </c>
      <c r="C546" s="636">
        <v>1565</v>
      </c>
      <c r="D546" s="636">
        <v>240493.55</v>
      </c>
      <c r="E546" s="603"/>
    </row>
    <row r="547" spans="1:5" x14ac:dyDescent="0.3">
      <c r="A547" s="635" t="s">
        <v>1189</v>
      </c>
      <c r="B547" s="635">
        <v>169.06</v>
      </c>
      <c r="C547" s="636">
        <v>7582</v>
      </c>
      <c r="D547" s="636">
        <v>1281812.92</v>
      </c>
      <c r="E547" s="603"/>
    </row>
    <row r="548" spans="1:5" x14ac:dyDescent="0.3">
      <c r="A548" s="635" t="s">
        <v>1188</v>
      </c>
      <c r="B548" s="635">
        <v>189.3</v>
      </c>
      <c r="C548" s="636">
        <v>3090</v>
      </c>
      <c r="D548" s="636">
        <v>584937</v>
      </c>
      <c r="E548" s="603"/>
    </row>
    <row r="549" spans="1:5" x14ac:dyDescent="0.3">
      <c r="A549" s="635" t="s">
        <v>1187</v>
      </c>
      <c r="B549" s="635">
        <v>181.99</v>
      </c>
      <c r="C549" s="636">
        <v>2850</v>
      </c>
      <c r="D549" s="636">
        <v>518671.5</v>
      </c>
      <c r="E549" s="603"/>
    </row>
    <row r="550" spans="1:5" x14ac:dyDescent="0.3">
      <c r="A550" s="635" t="s">
        <v>1186</v>
      </c>
      <c r="B550" s="635">
        <v>178.41</v>
      </c>
      <c r="C550" s="636">
        <v>2532</v>
      </c>
      <c r="D550" s="636">
        <v>451734.12</v>
      </c>
      <c r="E550" s="603"/>
    </row>
    <row r="551" spans="1:5" x14ac:dyDescent="0.3">
      <c r="A551" s="635" t="s">
        <v>1185</v>
      </c>
      <c r="B551" s="635">
        <v>172.78</v>
      </c>
      <c r="C551" s="636">
        <v>1893</v>
      </c>
      <c r="D551" s="636">
        <v>327072.53999999998</v>
      </c>
      <c r="E551" s="603"/>
    </row>
    <row r="552" spans="1:5" x14ac:dyDescent="0.3">
      <c r="A552" s="635" t="s">
        <v>1184</v>
      </c>
      <c r="B552" s="635">
        <v>187.18</v>
      </c>
      <c r="C552" s="636">
        <v>5072</v>
      </c>
      <c r="D552" s="636">
        <v>949376.96000000008</v>
      </c>
      <c r="E552" s="603"/>
    </row>
    <row r="553" spans="1:5" x14ac:dyDescent="0.3">
      <c r="A553" s="635" t="s">
        <v>1183</v>
      </c>
      <c r="B553" s="635">
        <v>196.75</v>
      </c>
      <c r="C553" s="636">
        <v>3471</v>
      </c>
      <c r="D553" s="636">
        <v>682919.25</v>
      </c>
      <c r="E553" s="603"/>
    </row>
    <row r="554" spans="1:5" x14ac:dyDescent="0.3">
      <c r="A554" s="635" t="s">
        <v>1182</v>
      </c>
      <c r="B554" s="635">
        <v>200.28</v>
      </c>
      <c r="C554" s="636">
        <v>1646</v>
      </c>
      <c r="D554" s="636">
        <v>329660.88</v>
      </c>
      <c r="E554" s="603"/>
    </row>
    <row r="555" spans="1:5" x14ac:dyDescent="0.3">
      <c r="A555" s="635" t="s">
        <v>1181</v>
      </c>
      <c r="B555" s="635">
        <v>193.69</v>
      </c>
      <c r="C555" s="636">
        <v>2175</v>
      </c>
      <c r="D555" s="636">
        <v>421275.75</v>
      </c>
      <c r="E555" s="603"/>
    </row>
    <row r="556" spans="1:5" x14ac:dyDescent="0.3">
      <c r="A556" s="635" t="s">
        <v>1180</v>
      </c>
      <c r="B556" s="635">
        <v>191.55</v>
      </c>
      <c r="C556" s="636">
        <v>3080</v>
      </c>
      <c r="D556" s="636">
        <v>589974</v>
      </c>
      <c r="E556" s="603"/>
    </row>
    <row r="557" spans="1:5" x14ac:dyDescent="0.3">
      <c r="A557" s="635" t="s">
        <v>1179</v>
      </c>
      <c r="B557" s="635">
        <v>206.05</v>
      </c>
      <c r="C557" s="636">
        <v>12813</v>
      </c>
      <c r="D557" s="636">
        <v>2640118.65</v>
      </c>
      <c r="E557" s="603"/>
    </row>
    <row r="558" spans="1:5" x14ac:dyDescent="0.3">
      <c r="A558" s="635" t="s">
        <v>1178</v>
      </c>
      <c r="B558" s="635">
        <v>206.39</v>
      </c>
      <c r="C558" s="636">
        <v>4366</v>
      </c>
      <c r="D558" s="636">
        <v>901098.74</v>
      </c>
      <c r="E558" s="603"/>
    </row>
    <row r="559" spans="1:5" x14ac:dyDescent="0.3">
      <c r="A559" s="635" t="s">
        <v>1177</v>
      </c>
      <c r="B559" s="635">
        <v>201.54</v>
      </c>
      <c r="C559" s="636">
        <v>5453</v>
      </c>
      <c r="D559" s="636">
        <v>1098997.6200000001</v>
      </c>
      <c r="E559" s="603"/>
    </row>
    <row r="560" spans="1:5" x14ac:dyDescent="0.3">
      <c r="A560" s="635" t="s">
        <v>1176</v>
      </c>
      <c r="B560" s="635">
        <v>193.13</v>
      </c>
      <c r="C560" s="636">
        <v>2070</v>
      </c>
      <c r="D560" s="636">
        <v>399779.1</v>
      </c>
      <c r="E560" s="603"/>
    </row>
    <row r="561" spans="1:5" x14ac:dyDescent="0.3">
      <c r="A561" s="635" t="s">
        <v>1175</v>
      </c>
      <c r="B561" s="635">
        <v>188.01</v>
      </c>
      <c r="C561" s="636">
        <v>1441</v>
      </c>
      <c r="D561" s="636">
        <v>270922.40999999997</v>
      </c>
      <c r="E561" s="603"/>
    </row>
    <row r="562" spans="1:5" x14ac:dyDescent="0.3">
      <c r="A562" s="635" t="s">
        <v>1174</v>
      </c>
      <c r="B562" s="635">
        <v>176.73</v>
      </c>
      <c r="C562" s="636">
        <v>789</v>
      </c>
      <c r="D562" s="636">
        <v>139439.97</v>
      </c>
      <c r="E562" s="603"/>
    </row>
    <row r="563" spans="1:5" x14ac:dyDescent="0.3">
      <c r="A563" s="635" t="s">
        <v>1173</v>
      </c>
      <c r="B563" s="635">
        <v>169.23</v>
      </c>
      <c r="C563" s="636">
        <v>1165</v>
      </c>
      <c r="D563" s="636">
        <v>197152.95</v>
      </c>
      <c r="E563" s="603"/>
    </row>
    <row r="564" spans="1:5" x14ac:dyDescent="0.3">
      <c r="A564" s="635" t="s">
        <v>1172</v>
      </c>
      <c r="B564" s="635">
        <v>176.24</v>
      </c>
      <c r="C564" s="636">
        <v>736</v>
      </c>
      <c r="D564" s="636">
        <v>129712.64</v>
      </c>
      <c r="E564" s="603"/>
    </row>
    <row r="565" spans="1:5" x14ac:dyDescent="0.3">
      <c r="A565" s="635" t="s">
        <v>1171</v>
      </c>
      <c r="B565" s="635">
        <v>168.18</v>
      </c>
      <c r="C565" s="636">
        <v>1199</v>
      </c>
      <c r="D565" s="636">
        <v>201647.82</v>
      </c>
      <c r="E565" s="603"/>
    </row>
    <row r="566" spans="1:5" x14ac:dyDescent="0.3">
      <c r="A566" s="635" t="s">
        <v>1170</v>
      </c>
      <c r="B566" s="635">
        <v>151.1</v>
      </c>
      <c r="C566" s="636">
        <v>1725</v>
      </c>
      <c r="D566" s="636">
        <v>260647.5</v>
      </c>
      <c r="E566" s="603"/>
    </row>
    <row r="567" spans="1:5" x14ac:dyDescent="0.3">
      <c r="A567" s="635" t="s">
        <v>1169</v>
      </c>
      <c r="B567" s="635">
        <v>137.75</v>
      </c>
      <c r="C567" s="636">
        <v>967</v>
      </c>
      <c r="D567" s="636">
        <v>133204.25</v>
      </c>
      <c r="E567" s="603"/>
    </row>
    <row r="568" spans="1:5" x14ac:dyDescent="0.3">
      <c r="A568" s="635" t="s">
        <v>1168</v>
      </c>
      <c r="B568" s="635">
        <v>123.42</v>
      </c>
      <c r="C568" s="636">
        <v>250</v>
      </c>
      <c r="D568" s="636">
        <v>30855</v>
      </c>
      <c r="E568" s="603"/>
    </row>
    <row r="569" spans="1:5" x14ac:dyDescent="0.3">
      <c r="A569" s="635" t="s">
        <v>1167</v>
      </c>
      <c r="B569" s="635">
        <v>129.75</v>
      </c>
      <c r="C569" s="636">
        <v>470</v>
      </c>
      <c r="D569" s="636">
        <v>60982.5</v>
      </c>
      <c r="E569" s="603"/>
    </row>
    <row r="570" spans="1:5" x14ac:dyDescent="0.3">
      <c r="A570" s="635" t="s">
        <v>1166</v>
      </c>
      <c r="B570" s="635">
        <v>121.51</v>
      </c>
      <c r="C570" s="636">
        <v>434</v>
      </c>
      <c r="D570" s="636">
        <v>52735.34</v>
      </c>
      <c r="E570" s="603"/>
    </row>
    <row r="571" spans="1:5" x14ac:dyDescent="0.3">
      <c r="A571" s="635" t="s">
        <v>1165</v>
      </c>
      <c r="B571" s="635">
        <v>126.52</v>
      </c>
      <c r="C571" s="636">
        <v>807</v>
      </c>
      <c r="D571" s="636">
        <v>102101.64</v>
      </c>
      <c r="E571" s="603"/>
    </row>
    <row r="572" spans="1:5" x14ac:dyDescent="0.3">
      <c r="A572" s="635" t="s">
        <v>1164</v>
      </c>
      <c r="B572" s="635">
        <v>128.46</v>
      </c>
      <c r="C572" s="636">
        <v>1075</v>
      </c>
      <c r="D572" s="636">
        <v>138094.5</v>
      </c>
      <c r="E572" s="603"/>
    </row>
    <row r="573" spans="1:5" x14ac:dyDescent="0.3">
      <c r="A573" s="635" t="s">
        <v>1163</v>
      </c>
      <c r="B573" s="635">
        <v>129.79</v>
      </c>
      <c r="C573" s="636">
        <v>210</v>
      </c>
      <c r="D573" s="636">
        <v>27255.9</v>
      </c>
      <c r="E573" s="603"/>
    </row>
    <row r="574" spans="1:5" x14ac:dyDescent="0.3">
      <c r="A574" s="635" t="s">
        <v>1162</v>
      </c>
      <c r="B574" s="635">
        <v>123.96</v>
      </c>
      <c r="C574" s="636">
        <v>150</v>
      </c>
      <c r="D574" s="636">
        <v>18594</v>
      </c>
      <c r="E574" s="603"/>
    </row>
    <row r="575" spans="1:5" x14ac:dyDescent="0.3">
      <c r="A575" s="635" t="s">
        <v>1161</v>
      </c>
      <c r="B575" s="635">
        <v>130.77000000000001</v>
      </c>
      <c r="C575" s="636">
        <v>1250</v>
      </c>
      <c r="D575" s="636">
        <v>163462.5</v>
      </c>
      <c r="E575" s="603"/>
    </row>
    <row r="576" spans="1:5" x14ac:dyDescent="0.3">
      <c r="A576" s="635" t="s">
        <v>1160</v>
      </c>
      <c r="B576" s="635">
        <v>125.98</v>
      </c>
      <c r="C576" s="636">
        <v>200</v>
      </c>
      <c r="D576" s="636">
        <v>25196</v>
      </c>
      <c r="E576" s="603"/>
    </row>
    <row r="577" spans="1:5" x14ac:dyDescent="0.3">
      <c r="A577" s="635" t="s">
        <v>1159</v>
      </c>
      <c r="B577" s="635">
        <v>122.78</v>
      </c>
      <c r="C577" s="636">
        <v>400</v>
      </c>
      <c r="D577" s="636">
        <v>49112</v>
      </c>
      <c r="E577" s="603"/>
    </row>
    <row r="578" spans="1:5" x14ac:dyDescent="0.3">
      <c r="A578" s="635" t="s">
        <v>1158</v>
      </c>
      <c r="B578" s="635">
        <v>121.56</v>
      </c>
      <c r="C578" s="636">
        <v>202</v>
      </c>
      <c r="D578" s="636">
        <v>24555.119999999999</v>
      </c>
      <c r="E578" s="603"/>
    </row>
    <row r="579" spans="1:5" x14ac:dyDescent="0.3">
      <c r="A579" s="635" t="s">
        <v>1157</v>
      </c>
      <c r="B579" s="635">
        <v>121.56</v>
      </c>
      <c r="C579" s="636">
        <v>10</v>
      </c>
      <c r="D579" s="636">
        <v>1215.5999999999999</v>
      </c>
      <c r="E579" s="603"/>
    </row>
    <row r="580" spans="1:5" x14ac:dyDescent="0.3">
      <c r="A580" s="635" t="s">
        <v>1156</v>
      </c>
      <c r="B580" s="635">
        <v>115.14</v>
      </c>
      <c r="C580" s="636">
        <v>153</v>
      </c>
      <c r="D580" s="636">
        <v>17616.419999999998</v>
      </c>
      <c r="E580" s="603"/>
    </row>
    <row r="581" spans="1:5" x14ac:dyDescent="0.3">
      <c r="A581" s="635" t="s">
        <v>1155</v>
      </c>
      <c r="B581" s="635">
        <v>117.05</v>
      </c>
      <c r="C581" s="636">
        <v>110</v>
      </c>
      <c r="D581" s="636">
        <v>12875.5</v>
      </c>
      <c r="E581" s="603"/>
    </row>
    <row r="582" spans="1:5" x14ac:dyDescent="0.3">
      <c r="A582" s="635" t="s">
        <v>1154</v>
      </c>
      <c r="B582" s="635">
        <v>117.48</v>
      </c>
      <c r="C582" s="636">
        <v>263</v>
      </c>
      <c r="D582" s="636">
        <v>30897.24</v>
      </c>
      <c r="E582" s="603"/>
    </row>
    <row r="583" spans="1:5" x14ac:dyDescent="0.3">
      <c r="A583" s="635" t="s">
        <v>1153</v>
      </c>
      <c r="B583" s="635">
        <v>117.48</v>
      </c>
      <c r="C583" s="636">
        <v>39</v>
      </c>
      <c r="D583" s="636">
        <v>4581.72</v>
      </c>
      <c r="E583" s="603"/>
    </row>
    <row r="584" spans="1:5" x14ac:dyDescent="0.3">
      <c r="A584" s="635" t="s">
        <v>1152</v>
      </c>
      <c r="B584" s="635">
        <v>120.54</v>
      </c>
      <c r="C584" s="636">
        <v>427</v>
      </c>
      <c r="D584" s="636">
        <v>51470.58</v>
      </c>
      <c r="E584" s="603"/>
    </row>
    <row r="585" spans="1:5" x14ac:dyDescent="0.3">
      <c r="A585" s="635" t="s">
        <v>1151</v>
      </c>
      <c r="B585" s="635">
        <v>122.32</v>
      </c>
      <c r="C585" s="636">
        <v>249</v>
      </c>
      <c r="D585" s="636">
        <v>30457.68</v>
      </c>
      <c r="E585" s="603"/>
    </row>
    <row r="586" spans="1:5" x14ac:dyDescent="0.3">
      <c r="A586" s="635" t="s">
        <v>1150</v>
      </c>
      <c r="B586" s="635">
        <v>122.2</v>
      </c>
      <c r="C586" s="636">
        <v>227</v>
      </c>
      <c r="D586" s="636">
        <v>27739.4</v>
      </c>
      <c r="E586" s="603"/>
    </row>
    <row r="587" spans="1:5" x14ac:dyDescent="0.3">
      <c r="A587" s="635" t="s">
        <v>1149</v>
      </c>
      <c r="B587" s="635">
        <v>116</v>
      </c>
      <c r="C587" s="636">
        <v>100</v>
      </c>
      <c r="D587" s="636">
        <v>11600</v>
      </c>
      <c r="E587" s="603"/>
    </row>
    <row r="588" spans="1:5" x14ac:dyDescent="0.3">
      <c r="A588" s="635" t="s">
        <v>1148</v>
      </c>
      <c r="B588" s="635">
        <v>111.61</v>
      </c>
      <c r="C588" s="636">
        <v>359</v>
      </c>
      <c r="D588" s="636">
        <v>40067.99</v>
      </c>
      <c r="E588" s="603"/>
    </row>
    <row r="589" spans="1:5" x14ac:dyDescent="0.3">
      <c r="A589" s="635" t="s">
        <v>1147</v>
      </c>
      <c r="B589" s="635">
        <v>112.37</v>
      </c>
      <c r="C589" s="636">
        <v>196</v>
      </c>
      <c r="D589" s="636">
        <v>22024.52</v>
      </c>
      <c r="E589" s="603"/>
    </row>
    <row r="590" spans="1:5" x14ac:dyDescent="0.3">
      <c r="A590" s="635" t="s">
        <v>1146</v>
      </c>
      <c r="B590" s="635">
        <v>108.16</v>
      </c>
      <c r="C590" s="636">
        <v>176</v>
      </c>
      <c r="D590" s="636">
        <v>19036.16</v>
      </c>
      <c r="E590" s="603"/>
    </row>
    <row r="591" spans="1:5" x14ac:dyDescent="0.3">
      <c r="A591" s="635" t="s">
        <v>1145</v>
      </c>
      <c r="B591" s="635">
        <v>105.01</v>
      </c>
      <c r="C591" s="636">
        <v>184</v>
      </c>
      <c r="D591" s="636">
        <v>19321.84</v>
      </c>
      <c r="E591" s="603"/>
    </row>
    <row r="592" spans="1:5" x14ac:dyDescent="0.3">
      <c r="A592" s="635" t="s">
        <v>1144</v>
      </c>
      <c r="B592" s="635">
        <v>109.21</v>
      </c>
      <c r="C592" s="636">
        <v>100</v>
      </c>
      <c r="D592" s="636">
        <v>10921</v>
      </c>
      <c r="E592" s="603"/>
    </row>
    <row r="593" spans="1:5" x14ac:dyDescent="0.3">
      <c r="A593" s="635" t="s">
        <v>1143</v>
      </c>
      <c r="B593" s="635">
        <v>107.85</v>
      </c>
      <c r="C593" s="636">
        <v>191</v>
      </c>
      <c r="D593" s="636">
        <v>20599.349999999999</v>
      </c>
      <c r="E593" s="603"/>
    </row>
    <row r="594" spans="1:5" x14ac:dyDescent="0.3">
      <c r="A594" s="635" t="s">
        <v>1142</v>
      </c>
      <c r="B594" s="635">
        <v>109.6</v>
      </c>
      <c r="C594" s="636">
        <v>427</v>
      </c>
      <c r="D594" s="636">
        <v>46799.199999999997</v>
      </c>
      <c r="E594" s="603"/>
    </row>
    <row r="595" spans="1:5" x14ac:dyDescent="0.3">
      <c r="A595" s="635" t="s">
        <v>1141</v>
      </c>
      <c r="B595" s="635">
        <v>109.6</v>
      </c>
      <c r="C595" s="636">
        <v>40</v>
      </c>
      <c r="D595" s="636">
        <v>4384</v>
      </c>
      <c r="E595" s="603"/>
    </row>
    <row r="596" spans="1:5" x14ac:dyDescent="0.3">
      <c r="A596" s="635" t="s">
        <v>1140</v>
      </c>
      <c r="B596" s="635">
        <v>110.37</v>
      </c>
      <c r="C596" s="636">
        <v>460</v>
      </c>
      <c r="D596" s="636">
        <v>50770.2</v>
      </c>
      <c r="E596" s="603"/>
    </row>
    <row r="597" spans="1:5" x14ac:dyDescent="0.3">
      <c r="A597" s="635" t="s">
        <v>1139</v>
      </c>
      <c r="B597" s="635">
        <v>110.55</v>
      </c>
      <c r="C597" s="636">
        <v>197</v>
      </c>
      <c r="D597" s="636">
        <v>21778.35</v>
      </c>
      <c r="E597" s="603"/>
    </row>
    <row r="598" spans="1:5" x14ac:dyDescent="0.3">
      <c r="A598" s="635" t="s">
        <v>1138</v>
      </c>
      <c r="B598" s="635">
        <v>110.55</v>
      </c>
      <c r="C598" s="636">
        <v>95</v>
      </c>
      <c r="D598" s="636">
        <v>10502.25</v>
      </c>
      <c r="E598" s="603"/>
    </row>
    <row r="599" spans="1:5" x14ac:dyDescent="0.3">
      <c r="A599" s="635" t="s">
        <v>1137</v>
      </c>
      <c r="B599" s="635">
        <v>104.43</v>
      </c>
      <c r="C599" s="636">
        <v>370</v>
      </c>
      <c r="D599" s="636">
        <v>38639.100000000013</v>
      </c>
      <c r="E599" s="603"/>
    </row>
    <row r="600" spans="1:5" x14ac:dyDescent="0.3">
      <c r="A600" s="635" t="s">
        <v>1136</v>
      </c>
      <c r="B600" s="635">
        <v>101.23</v>
      </c>
      <c r="C600" s="636">
        <v>495</v>
      </c>
      <c r="D600" s="636">
        <v>50108.85</v>
      </c>
      <c r="E600" s="603"/>
    </row>
    <row r="601" spans="1:5" x14ac:dyDescent="0.3">
      <c r="A601" s="635" t="s">
        <v>1135</v>
      </c>
      <c r="B601" s="635">
        <v>100.41</v>
      </c>
      <c r="C601" s="636">
        <v>1593</v>
      </c>
      <c r="D601" s="636">
        <v>159953.13</v>
      </c>
      <c r="E601" s="603"/>
    </row>
    <row r="602" spans="1:5" x14ac:dyDescent="0.3">
      <c r="A602" s="635" t="s">
        <v>1134</v>
      </c>
      <c r="B602" s="635">
        <v>100.41</v>
      </c>
      <c r="C602" s="636">
        <v>70</v>
      </c>
      <c r="D602" s="636">
        <v>7028.7</v>
      </c>
      <c r="E602" s="603"/>
    </row>
    <row r="603" spans="1:5" x14ac:dyDescent="0.3">
      <c r="A603" s="635" t="s">
        <v>1133</v>
      </c>
      <c r="B603" s="635">
        <v>100.41</v>
      </c>
      <c r="C603" s="636">
        <v>20</v>
      </c>
      <c r="D603" s="636">
        <v>2008.2</v>
      </c>
      <c r="E603" s="603"/>
    </row>
    <row r="604" spans="1:5" x14ac:dyDescent="0.3">
      <c r="A604" s="635" t="s">
        <v>1132</v>
      </c>
      <c r="B604" s="635">
        <v>100.06</v>
      </c>
      <c r="C604" s="636">
        <v>166</v>
      </c>
      <c r="D604" s="636">
        <v>16609.96</v>
      </c>
      <c r="E604" s="603"/>
    </row>
    <row r="605" spans="1:5" x14ac:dyDescent="0.3">
      <c r="A605" s="635" t="s">
        <v>1131</v>
      </c>
      <c r="B605" s="635">
        <v>106.94</v>
      </c>
      <c r="C605" s="636">
        <v>251</v>
      </c>
      <c r="D605" s="636">
        <v>26841.94</v>
      </c>
      <c r="E605" s="603"/>
    </row>
    <row r="606" spans="1:5" x14ac:dyDescent="0.3">
      <c r="A606" s="635" t="s">
        <v>1130</v>
      </c>
      <c r="B606" s="635">
        <v>104.72</v>
      </c>
      <c r="C606" s="636">
        <v>450</v>
      </c>
      <c r="D606" s="636">
        <v>47124</v>
      </c>
      <c r="E606" s="603"/>
    </row>
    <row r="607" spans="1:5" x14ac:dyDescent="0.3">
      <c r="A607" s="635" t="s">
        <v>1129</v>
      </c>
      <c r="B607" s="635">
        <v>106.17</v>
      </c>
      <c r="C607" s="636">
        <v>522</v>
      </c>
      <c r="D607" s="636">
        <v>55420.74</v>
      </c>
      <c r="E607" s="603"/>
    </row>
    <row r="608" spans="1:5" x14ac:dyDescent="0.3">
      <c r="A608" s="635" t="s">
        <v>1128</v>
      </c>
      <c r="B608" s="635">
        <v>109.11</v>
      </c>
      <c r="C608" s="636">
        <v>178</v>
      </c>
      <c r="D608" s="636">
        <v>19421.580000000002</v>
      </c>
      <c r="E608" s="603"/>
    </row>
    <row r="609" spans="1:5" x14ac:dyDescent="0.3">
      <c r="A609" s="635" t="s">
        <v>1127</v>
      </c>
      <c r="B609" s="635">
        <v>119.14</v>
      </c>
      <c r="C609" s="636">
        <v>930</v>
      </c>
      <c r="D609" s="636">
        <v>110800.2</v>
      </c>
      <c r="E609" s="603"/>
    </row>
    <row r="610" spans="1:5" x14ac:dyDescent="0.3">
      <c r="A610" s="635" t="s">
        <v>1126</v>
      </c>
      <c r="B610" s="635">
        <v>118.69</v>
      </c>
      <c r="C610" s="636">
        <v>760</v>
      </c>
      <c r="D610" s="636">
        <v>90204.4</v>
      </c>
      <c r="E610" s="603"/>
    </row>
    <row r="611" spans="1:5" x14ac:dyDescent="0.3">
      <c r="A611" s="635" t="s">
        <v>1125</v>
      </c>
      <c r="B611" s="635">
        <v>115.9</v>
      </c>
      <c r="C611" s="636">
        <v>610</v>
      </c>
      <c r="D611" s="636">
        <v>70699</v>
      </c>
      <c r="E611" s="603"/>
    </row>
    <row r="612" spans="1:5" x14ac:dyDescent="0.3">
      <c r="A612" s="635" t="s">
        <v>1124</v>
      </c>
      <c r="B612" s="635">
        <v>108.53</v>
      </c>
      <c r="C612" s="636">
        <v>470</v>
      </c>
      <c r="D612" s="636">
        <v>51009.1</v>
      </c>
      <c r="E612" s="603"/>
    </row>
    <row r="613" spans="1:5" x14ac:dyDescent="0.3">
      <c r="A613" s="635" t="s">
        <v>1123</v>
      </c>
      <c r="B613" s="635">
        <v>112.66</v>
      </c>
      <c r="C613" s="636">
        <v>150</v>
      </c>
      <c r="D613" s="636">
        <v>16899</v>
      </c>
      <c r="E613" s="603"/>
    </row>
    <row r="614" spans="1:5" x14ac:dyDescent="0.3">
      <c r="A614" s="635" t="s">
        <v>1122</v>
      </c>
      <c r="B614" s="635">
        <v>108.07</v>
      </c>
      <c r="C614" s="636">
        <v>2047</v>
      </c>
      <c r="D614" s="636">
        <v>221219.29</v>
      </c>
      <c r="E614" s="603"/>
    </row>
    <row r="615" spans="1:5" x14ac:dyDescent="0.3">
      <c r="A615" s="635" t="s">
        <v>1121</v>
      </c>
      <c r="B615" s="635">
        <v>115.52</v>
      </c>
      <c r="C615" s="636">
        <v>600</v>
      </c>
      <c r="D615" s="636">
        <v>69312</v>
      </c>
      <c r="E615" s="603"/>
    </row>
    <row r="616" spans="1:5" x14ac:dyDescent="0.3">
      <c r="A616" s="635" t="s">
        <v>1120</v>
      </c>
      <c r="B616" s="635">
        <v>114.19</v>
      </c>
      <c r="C616" s="636">
        <v>1615</v>
      </c>
      <c r="D616" s="636">
        <v>184416.85</v>
      </c>
      <c r="E616" s="603"/>
    </row>
    <row r="617" spans="1:5" x14ac:dyDescent="0.3">
      <c r="A617" s="635" t="s">
        <v>1119</v>
      </c>
      <c r="B617" s="635">
        <v>110.24</v>
      </c>
      <c r="C617" s="636">
        <v>6615</v>
      </c>
      <c r="D617" s="636">
        <v>729237.6</v>
      </c>
      <c r="E617" s="603"/>
    </row>
    <row r="618" spans="1:5" x14ac:dyDescent="0.3">
      <c r="A618" s="635" t="s">
        <v>1118</v>
      </c>
      <c r="B618" s="635">
        <v>123.49</v>
      </c>
      <c r="C618" s="636">
        <v>4283</v>
      </c>
      <c r="D618" s="636">
        <v>528907.66999999993</v>
      </c>
      <c r="E618" s="603"/>
    </row>
    <row r="619" spans="1:5" x14ac:dyDescent="0.3">
      <c r="A619" s="635" t="s">
        <v>1117</v>
      </c>
      <c r="B619" s="635">
        <v>117.61</v>
      </c>
      <c r="C619" s="636">
        <v>3144</v>
      </c>
      <c r="D619" s="636">
        <v>369765.84</v>
      </c>
      <c r="E619" s="603"/>
    </row>
    <row r="620" spans="1:5" x14ac:dyDescent="0.3">
      <c r="A620" s="635" t="s">
        <v>1116</v>
      </c>
      <c r="B620" s="635">
        <v>115.15</v>
      </c>
      <c r="C620" s="636">
        <v>1430</v>
      </c>
      <c r="D620" s="636">
        <v>164664.5</v>
      </c>
      <c r="E620" s="603"/>
    </row>
    <row r="621" spans="1:5" x14ac:dyDescent="0.3">
      <c r="A621" s="635" t="s">
        <v>1115</v>
      </c>
      <c r="B621" s="635">
        <v>119.4</v>
      </c>
      <c r="C621" s="636">
        <v>1490</v>
      </c>
      <c r="D621" s="636">
        <v>177906</v>
      </c>
      <c r="E621" s="603"/>
    </row>
    <row r="622" spans="1:5" x14ac:dyDescent="0.3">
      <c r="A622" s="635" t="s">
        <v>1114</v>
      </c>
      <c r="B622" s="635">
        <v>125.22</v>
      </c>
      <c r="C622" s="636">
        <v>3235</v>
      </c>
      <c r="D622" s="636">
        <v>405086.7</v>
      </c>
      <c r="E622" s="603"/>
    </row>
    <row r="623" spans="1:5" x14ac:dyDescent="0.3">
      <c r="A623" s="635" t="s">
        <v>1113</v>
      </c>
      <c r="B623" s="635">
        <v>123.19</v>
      </c>
      <c r="C623" s="636">
        <v>2373</v>
      </c>
      <c r="D623" s="636">
        <v>292329.87</v>
      </c>
      <c r="E623" s="603"/>
    </row>
    <row r="624" spans="1:5" x14ac:dyDescent="0.3">
      <c r="A624" s="635" t="s">
        <v>1112</v>
      </c>
      <c r="B624" s="635">
        <v>123.55</v>
      </c>
      <c r="C624" s="636">
        <v>620</v>
      </c>
      <c r="D624" s="636">
        <v>76601</v>
      </c>
      <c r="E624" s="603"/>
    </row>
    <row r="625" spans="1:5" x14ac:dyDescent="0.3">
      <c r="A625" s="635" t="s">
        <v>1111</v>
      </c>
      <c r="B625" s="635">
        <v>120.1</v>
      </c>
      <c r="C625" s="636">
        <v>2108</v>
      </c>
      <c r="D625" s="636">
        <v>253170.8</v>
      </c>
      <c r="E625" s="603"/>
    </row>
    <row r="626" spans="1:5" x14ac:dyDescent="0.3">
      <c r="A626" s="635" t="s">
        <v>1110</v>
      </c>
      <c r="B626" s="635">
        <v>120.28</v>
      </c>
      <c r="C626" s="636">
        <v>1361</v>
      </c>
      <c r="D626" s="636">
        <v>163701.07999999999</v>
      </c>
      <c r="E626" s="603"/>
    </row>
    <row r="627" spans="1:5" x14ac:dyDescent="0.3">
      <c r="A627" s="635" t="s">
        <v>1109</v>
      </c>
      <c r="B627" s="635">
        <v>119.33</v>
      </c>
      <c r="C627" s="636">
        <v>815</v>
      </c>
      <c r="D627" s="636">
        <v>97253.95</v>
      </c>
      <c r="E627" s="603"/>
    </row>
    <row r="628" spans="1:5" x14ac:dyDescent="0.3">
      <c r="A628" s="635" t="s">
        <v>1108</v>
      </c>
      <c r="B628" s="635">
        <v>117.39</v>
      </c>
      <c r="C628" s="636">
        <v>1001</v>
      </c>
      <c r="D628" s="636">
        <v>117507.39</v>
      </c>
      <c r="E628" s="603"/>
    </row>
    <row r="629" spans="1:5" x14ac:dyDescent="0.3">
      <c r="A629" s="635" t="s">
        <v>1107</v>
      </c>
      <c r="B629" s="635">
        <v>116.91</v>
      </c>
      <c r="C629" s="636">
        <v>730</v>
      </c>
      <c r="D629" s="636">
        <v>85344.3</v>
      </c>
      <c r="E629" s="603"/>
    </row>
    <row r="630" spans="1:5" x14ac:dyDescent="0.3">
      <c r="A630" s="635" t="s">
        <v>1106</v>
      </c>
      <c r="B630" s="635">
        <v>118.51</v>
      </c>
      <c r="C630" s="636">
        <v>595</v>
      </c>
      <c r="D630" s="636">
        <v>70513.45</v>
      </c>
      <c r="E630" s="603"/>
    </row>
    <row r="631" spans="1:5" x14ac:dyDescent="0.3">
      <c r="A631" s="635" t="s">
        <v>1105</v>
      </c>
      <c r="B631" s="635">
        <v>117.22</v>
      </c>
      <c r="C631" s="636">
        <v>755</v>
      </c>
      <c r="D631" s="636">
        <v>88501.1</v>
      </c>
      <c r="E631" s="603"/>
    </row>
    <row r="632" spans="1:5" x14ac:dyDescent="0.3">
      <c r="A632" s="635" t="s">
        <v>1104</v>
      </c>
      <c r="B632" s="635">
        <v>118.7</v>
      </c>
      <c r="C632" s="636">
        <v>2386</v>
      </c>
      <c r="D632" s="636">
        <v>283218.2</v>
      </c>
      <c r="E632" s="603"/>
    </row>
    <row r="633" spans="1:5" x14ac:dyDescent="0.3">
      <c r="A633" s="635" t="s">
        <v>1103</v>
      </c>
      <c r="B633" s="635">
        <v>118.14</v>
      </c>
      <c r="C633" s="636">
        <v>932</v>
      </c>
      <c r="D633" s="636">
        <v>110106.48</v>
      </c>
      <c r="E633" s="603"/>
    </row>
    <row r="634" spans="1:5" x14ac:dyDescent="0.3">
      <c r="A634" s="635" t="s">
        <v>1102</v>
      </c>
      <c r="B634" s="635">
        <v>119.33</v>
      </c>
      <c r="C634" s="636">
        <v>1850</v>
      </c>
      <c r="D634" s="636">
        <v>220760.5</v>
      </c>
      <c r="E634" s="603"/>
    </row>
    <row r="635" spans="1:5" x14ac:dyDescent="0.3">
      <c r="A635" s="635" t="s">
        <v>1101</v>
      </c>
      <c r="B635" s="635">
        <v>116.09</v>
      </c>
      <c r="C635" s="636">
        <v>916</v>
      </c>
      <c r="D635" s="636">
        <v>106338.44</v>
      </c>
      <c r="E635" s="603"/>
    </row>
    <row r="636" spans="1:5" x14ac:dyDescent="0.3">
      <c r="A636" s="635" t="s">
        <v>1100</v>
      </c>
      <c r="B636" s="635">
        <v>114.05</v>
      </c>
      <c r="C636" s="636">
        <v>189</v>
      </c>
      <c r="D636" s="636">
        <v>21555.45</v>
      </c>
      <c r="E636" s="603"/>
    </row>
    <row r="637" spans="1:5" x14ac:dyDescent="0.3">
      <c r="A637" s="635" t="s">
        <v>1099</v>
      </c>
      <c r="B637" s="635">
        <v>116.49</v>
      </c>
      <c r="C637" s="636">
        <v>640</v>
      </c>
      <c r="D637" s="636">
        <v>74553.599999999991</v>
      </c>
      <c r="E637" s="603"/>
    </row>
    <row r="638" spans="1:5" x14ac:dyDescent="0.3">
      <c r="A638" s="635" t="s">
        <v>1098</v>
      </c>
      <c r="B638" s="635">
        <v>113.96</v>
      </c>
      <c r="C638" s="636">
        <v>1029</v>
      </c>
      <c r="D638" s="636">
        <v>117264.84</v>
      </c>
      <c r="E638" s="603"/>
    </row>
    <row r="639" spans="1:5" x14ac:dyDescent="0.3">
      <c r="A639" s="635" t="s">
        <v>1097</v>
      </c>
      <c r="B639" s="635">
        <v>112.9</v>
      </c>
      <c r="C639" s="636">
        <v>608</v>
      </c>
      <c r="D639" s="636">
        <v>68643.199999999997</v>
      </c>
      <c r="E639" s="603"/>
    </row>
    <row r="640" spans="1:5" x14ac:dyDescent="0.3">
      <c r="A640" s="635" t="s">
        <v>1096</v>
      </c>
      <c r="B640" s="635">
        <v>110.51</v>
      </c>
      <c r="C640" s="636">
        <v>400</v>
      </c>
      <c r="D640" s="636">
        <v>44204</v>
      </c>
      <c r="E640" s="603"/>
    </row>
    <row r="641" spans="1:5" x14ac:dyDescent="0.3">
      <c r="A641" s="635" t="s">
        <v>1095</v>
      </c>
      <c r="B641" s="635">
        <v>112.74</v>
      </c>
      <c r="C641" s="636">
        <v>1056</v>
      </c>
      <c r="D641" s="636">
        <v>119053.44</v>
      </c>
      <c r="E641" s="603"/>
    </row>
    <row r="642" spans="1:5" x14ac:dyDescent="0.3">
      <c r="A642" s="635" t="s">
        <v>1094</v>
      </c>
      <c r="B642" s="635">
        <v>115.17</v>
      </c>
      <c r="C642" s="636">
        <v>542</v>
      </c>
      <c r="D642" s="636">
        <v>62422.14</v>
      </c>
      <c r="E642" s="603"/>
    </row>
    <row r="643" spans="1:5" x14ac:dyDescent="0.3">
      <c r="A643" s="635" t="s">
        <v>1093</v>
      </c>
      <c r="B643" s="635">
        <v>111.9</v>
      </c>
      <c r="C643" s="636">
        <v>578</v>
      </c>
      <c r="D643" s="636">
        <v>64678.2</v>
      </c>
      <c r="E643" s="603"/>
    </row>
    <row r="644" spans="1:5" x14ac:dyDescent="0.3">
      <c r="A644" s="635" t="s">
        <v>1092</v>
      </c>
      <c r="B644" s="635">
        <v>110.6</v>
      </c>
      <c r="C644" s="636">
        <v>545</v>
      </c>
      <c r="D644" s="636">
        <v>60277</v>
      </c>
      <c r="E644" s="603"/>
    </row>
    <row r="645" spans="1:5" x14ac:dyDescent="0.3">
      <c r="A645" s="635" t="s">
        <v>1091</v>
      </c>
      <c r="B645" s="635">
        <v>107.18</v>
      </c>
      <c r="C645" s="636">
        <v>1312</v>
      </c>
      <c r="D645" s="636">
        <v>140620.16</v>
      </c>
      <c r="E645" s="603"/>
    </row>
    <row r="646" spans="1:5" x14ac:dyDescent="0.3">
      <c r="A646" s="635" t="s">
        <v>1090</v>
      </c>
      <c r="B646" s="635">
        <v>109.8</v>
      </c>
      <c r="C646" s="636">
        <v>1387</v>
      </c>
      <c r="D646" s="636">
        <v>152292.6</v>
      </c>
      <c r="E646" s="603"/>
    </row>
    <row r="647" spans="1:5" x14ac:dyDescent="0.3">
      <c r="A647" s="635" t="s">
        <v>1089</v>
      </c>
      <c r="B647" s="635">
        <v>107.7</v>
      </c>
      <c r="C647" s="636">
        <v>892</v>
      </c>
      <c r="D647" s="636">
        <v>96068.400000000009</v>
      </c>
      <c r="E647" s="603"/>
    </row>
    <row r="648" spans="1:5" x14ac:dyDescent="0.3">
      <c r="A648" s="635" t="s">
        <v>1088</v>
      </c>
      <c r="B648" s="635">
        <v>107.5</v>
      </c>
      <c r="C648" s="636">
        <v>413</v>
      </c>
      <c r="D648" s="636">
        <v>44397.5</v>
      </c>
      <c r="E648" s="603"/>
    </row>
    <row r="649" spans="1:5" x14ac:dyDescent="0.3">
      <c r="A649" s="635" t="s">
        <v>1087</v>
      </c>
      <c r="B649" s="635">
        <v>105.97</v>
      </c>
      <c r="C649" s="636">
        <v>2760</v>
      </c>
      <c r="D649" s="636">
        <v>292477.2</v>
      </c>
      <c r="E649" s="603"/>
    </row>
    <row r="650" spans="1:5" x14ac:dyDescent="0.3">
      <c r="A650" s="635" t="s">
        <v>1086</v>
      </c>
      <c r="B650" s="635">
        <v>98.22</v>
      </c>
      <c r="C650" s="636">
        <v>780</v>
      </c>
      <c r="D650" s="636">
        <v>76611.600000000006</v>
      </c>
      <c r="E650" s="603"/>
    </row>
    <row r="651" spans="1:5" x14ac:dyDescent="0.3">
      <c r="A651" s="635" t="s">
        <v>1085</v>
      </c>
      <c r="B651" s="635">
        <v>103.75</v>
      </c>
      <c r="C651" s="636">
        <v>1170</v>
      </c>
      <c r="D651" s="636">
        <v>121387.5</v>
      </c>
      <c r="E651" s="603"/>
    </row>
    <row r="652" spans="1:5" x14ac:dyDescent="0.3">
      <c r="A652" s="635" t="s">
        <v>1084</v>
      </c>
      <c r="B652" s="635">
        <v>109.68</v>
      </c>
      <c r="C652" s="636">
        <v>3662</v>
      </c>
      <c r="D652" s="636">
        <v>401648.16</v>
      </c>
      <c r="E652" s="603"/>
    </row>
    <row r="653" spans="1:5" x14ac:dyDescent="0.3">
      <c r="A653" s="635" t="s">
        <v>1083</v>
      </c>
      <c r="B653" s="635">
        <v>105.93</v>
      </c>
      <c r="C653" s="636">
        <v>3801</v>
      </c>
      <c r="D653" s="636">
        <v>402639.93000000011</v>
      </c>
      <c r="E653" s="603"/>
    </row>
    <row r="654" spans="1:5" x14ac:dyDescent="0.3">
      <c r="A654" s="635" t="s">
        <v>1082</v>
      </c>
      <c r="B654" s="635">
        <v>99.94</v>
      </c>
      <c r="C654" s="636">
        <v>665</v>
      </c>
      <c r="D654" s="636">
        <v>66460.099999999991</v>
      </c>
      <c r="E654" s="603"/>
    </row>
    <row r="655" spans="1:5" x14ac:dyDescent="0.3">
      <c r="A655" s="635" t="s">
        <v>1081</v>
      </c>
      <c r="B655" s="635">
        <v>100.07</v>
      </c>
      <c r="C655" s="636">
        <v>100</v>
      </c>
      <c r="D655" s="636">
        <v>10007</v>
      </c>
      <c r="E655" s="603"/>
    </row>
    <row r="656" spans="1:5" x14ac:dyDescent="0.3">
      <c r="A656" s="635" t="s">
        <v>1080</v>
      </c>
      <c r="B656" s="635">
        <v>100.06</v>
      </c>
      <c r="C656" s="636">
        <v>1180</v>
      </c>
      <c r="D656" s="636">
        <v>118070.8</v>
      </c>
      <c r="E656" s="603"/>
    </row>
    <row r="657" spans="1:5" x14ac:dyDescent="0.3">
      <c r="A657" s="635" t="s">
        <v>1079</v>
      </c>
      <c r="B657" s="635">
        <v>102.67</v>
      </c>
      <c r="C657" s="636">
        <v>315</v>
      </c>
      <c r="D657" s="636">
        <v>32341.05</v>
      </c>
      <c r="E657" s="603"/>
    </row>
    <row r="658" spans="1:5" x14ac:dyDescent="0.3">
      <c r="A658" s="635" t="s">
        <v>1078</v>
      </c>
      <c r="B658" s="635">
        <v>99.75</v>
      </c>
      <c r="C658" s="636">
        <v>400</v>
      </c>
      <c r="D658" s="636">
        <v>39900</v>
      </c>
      <c r="E658" s="603"/>
    </row>
    <row r="659" spans="1:5" x14ac:dyDescent="0.3">
      <c r="A659" s="635" t="s">
        <v>1077</v>
      </c>
      <c r="B659" s="635">
        <v>107.5</v>
      </c>
      <c r="C659" s="636">
        <v>155</v>
      </c>
      <c r="D659" s="636">
        <v>16662.5</v>
      </c>
      <c r="E659" s="603"/>
    </row>
    <row r="660" spans="1:5" x14ac:dyDescent="0.3">
      <c r="A660" s="635" t="s">
        <v>1076</v>
      </c>
      <c r="B660" s="635">
        <v>106.26</v>
      </c>
      <c r="C660" s="636">
        <v>298</v>
      </c>
      <c r="D660" s="636">
        <v>31665.48</v>
      </c>
      <c r="E660" s="603"/>
    </row>
    <row r="661" spans="1:5" x14ac:dyDescent="0.3">
      <c r="A661" s="635" t="s">
        <v>1075</v>
      </c>
      <c r="B661" s="635">
        <v>103.43</v>
      </c>
      <c r="C661" s="636">
        <v>981</v>
      </c>
      <c r="D661" s="636">
        <v>101464.83</v>
      </c>
      <c r="E661" s="603"/>
    </row>
    <row r="662" spans="1:5" x14ac:dyDescent="0.3">
      <c r="A662" s="635" t="s">
        <v>1074</v>
      </c>
      <c r="B662" s="635">
        <v>103.86</v>
      </c>
      <c r="C662" s="636">
        <v>935</v>
      </c>
      <c r="D662" s="636">
        <v>97109.1</v>
      </c>
      <c r="E662" s="603"/>
    </row>
    <row r="663" spans="1:5" x14ac:dyDescent="0.3">
      <c r="A663" s="635" t="s">
        <v>1073</v>
      </c>
      <c r="B663" s="635">
        <v>104.28</v>
      </c>
      <c r="C663" s="636">
        <v>146</v>
      </c>
      <c r="D663" s="636">
        <v>15224.88</v>
      </c>
      <c r="E663" s="603"/>
    </row>
    <row r="664" spans="1:5" x14ac:dyDescent="0.3">
      <c r="A664" s="635" t="s">
        <v>1072</v>
      </c>
      <c r="B664" s="635">
        <v>102.63</v>
      </c>
      <c r="C664" s="636">
        <v>1175</v>
      </c>
      <c r="D664" s="636">
        <v>120590.25</v>
      </c>
      <c r="E664" s="603"/>
    </row>
    <row r="665" spans="1:5" x14ac:dyDescent="0.3">
      <c r="A665" s="635" t="s">
        <v>1071</v>
      </c>
      <c r="B665" s="635">
        <v>103.56</v>
      </c>
      <c r="C665" s="636">
        <v>324</v>
      </c>
      <c r="D665" s="636">
        <v>33553.440000000002</v>
      </c>
      <c r="E665" s="603"/>
    </row>
    <row r="666" spans="1:5" x14ac:dyDescent="0.3">
      <c r="A666" s="635" t="s">
        <v>1070</v>
      </c>
      <c r="B666" s="635">
        <v>107.46</v>
      </c>
      <c r="C666" s="636">
        <v>747</v>
      </c>
      <c r="D666" s="636">
        <v>80272.62</v>
      </c>
      <c r="E666" s="603"/>
    </row>
    <row r="667" spans="1:5" x14ac:dyDescent="0.3">
      <c r="A667" s="635" t="s">
        <v>1069</v>
      </c>
      <c r="B667" s="635">
        <v>111.98</v>
      </c>
      <c r="C667" s="636">
        <v>398</v>
      </c>
      <c r="D667" s="636">
        <v>44568.04</v>
      </c>
      <c r="E667" s="603"/>
    </row>
    <row r="668" spans="1:5" x14ac:dyDescent="0.3">
      <c r="A668" s="635" t="s">
        <v>1068</v>
      </c>
      <c r="B668" s="635">
        <v>111.62</v>
      </c>
      <c r="C668" s="636">
        <v>333</v>
      </c>
      <c r="D668" s="636">
        <v>37169.46</v>
      </c>
      <c r="E668" s="603"/>
    </row>
    <row r="669" spans="1:5" x14ac:dyDescent="0.3">
      <c r="A669" s="635" t="s">
        <v>1067</v>
      </c>
      <c r="B669" s="635">
        <v>111.91</v>
      </c>
      <c r="C669" s="636">
        <v>556</v>
      </c>
      <c r="D669" s="636">
        <v>62221.96</v>
      </c>
      <c r="E669" s="603"/>
    </row>
    <row r="670" spans="1:5" x14ac:dyDescent="0.3">
      <c r="A670" s="635" t="s">
        <v>1066</v>
      </c>
      <c r="B670" s="635">
        <v>112.67</v>
      </c>
      <c r="C670" s="636">
        <v>860</v>
      </c>
      <c r="D670" s="636">
        <v>96896.2</v>
      </c>
      <c r="E670" s="603"/>
    </row>
    <row r="671" spans="1:5" x14ac:dyDescent="0.3">
      <c r="A671" s="635" t="s">
        <v>1065</v>
      </c>
      <c r="B671" s="635">
        <v>117.18</v>
      </c>
      <c r="C671" s="636">
        <v>1431</v>
      </c>
      <c r="D671" s="636">
        <v>167684.57999999999</v>
      </c>
      <c r="E671" s="603"/>
    </row>
    <row r="672" spans="1:5" x14ac:dyDescent="0.3">
      <c r="A672" s="635" t="s">
        <v>1064</v>
      </c>
      <c r="B672" s="635">
        <v>114.21</v>
      </c>
      <c r="C672" s="636">
        <v>730</v>
      </c>
      <c r="D672" s="636">
        <v>83373.299999999988</v>
      </c>
      <c r="E672" s="603"/>
    </row>
    <row r="673" spans="1:5" x14ac:dyDescent="0.3">
      <c r="A673" s="635" t="s">
        <v>1063</v>
      </c>
      <c r="B673" s="635">
        <v>111.06</v>
      </c>
      <c r="C673" s="636">
        <v>737</v>
      </c>
      <c r="D673" s="636">
        <v>81851.22</v>
      </c>
      <c r="E673" s="603"/>
    </row>
    <row r="674" spans="1:5" x14ac:dyDescent="0.3">
      <c r="A674" s="635" t="s">
        <v>1062</v>
      </c>
      <c r="B674" s="635">
        <v>109.24</v>
      </c>
      <c r="C674" s="636">
        <v>1249</v>
      </c>
      <c r="D674" s="636">
        <v>136440.76</v>
      </c>
      <c r="E674" s="603"/>
    </row>
    <row r="675" spans="1:5" x14ac:dyDescent="0.3">
      <c r="A675" s="635" t="s">
        <v>1061</v>
      </c>
      <c r="B675" s="635">
        <v>111.82</v>
      </c>
      <c r="C675" s="636">
        <v>817</v>
      </c>
      <c r="D675" s="636">
        <v>91356.939999999988</v>
      </c>
      <c r="E675" s="603"/>
    </row>
    <row r="676" spans="1:5" x14ac:dyDescent="0.3">
      <c r="A676" s="635" t="s">
        <v>1060</v>
      </c>
      <c r="B676" s="635">
        <v>110.96</v>
      </c>
      <c r="C676" s="636">
        <v>155</v>
      </c>
      <c r="D676" s="636">
        <v>17198.8</v>
      </c>
      <c r="E676" s="603"/>
    </row>
    <row r="677" spans="1:5" x14ac:dyDescent="0.3">
      <c r="A677" s="635" t="s">
        <v>1059</v>
      </c>
      <c r="B677" s="635">
        <v>110.38</v>
      </c>
      <c r="C677" s="636">
        <v>157</v>
      </c>
      <c r="D677" s="636">
        <v>17329.66</v>
      </c>
      <c r="E677" s="603"/>
    </row>
    <row r="678" spans="1:5" x14ac:dyDescent="0.3">
      <c r="A678" s="635" t="s">
        <v>1058</v>
      </c>
      <c r="B678" s="635">
        <v>107.34</v>
      </c>
      <c r="C678" s="636">
        <v>1821</v>
      </c>
      <c r="D678" s="636">
        <v>195466.14</v>
      </c>
      <c r="E678" s="603"/>
    </row>
    <row r="679" spans="1:5" x14ac:dyDescent="0.3">
      <c r="A679" s="635" t="s">
        <v>1057</v>
      </c>
      <c r="B679" s="635">
        <v>109.62</v>
      </c>
      <c r="C679" s="636">
        <v>536</v>
      </c>
      <c r="D679" s="636">
        <v>58756.32</v>
      </c>
      <c r="E679" s="603"/>
    </row>
    <row r="680" spans="1:5" x14ac:dyDescent="0.3">
      <c r="A680" s="635" t="s">
        <v>1056</v>
      </c>
      <c r="B680" s="635">
        <v>106.83</v>
      </c>
      <c r="C680" s="636">
        <v>1999</v>
      </c>
      <c r="D680" s="636">
        <v>213553.17</v>
      </c>
      <c r="E680" s="603"/>
    </row>
    <row r="681" spans="1:5" x14ac:dyDescent="0.3">
      <c r="A681" s="635" t="s">
        <v>1055</v>
      </c>
      <c r="B681" s="635">
        <v>105.14</v>
      </c>
      <c r="C681" s="636">
        <v>2567</v>
      </c>
      <c r="D681" s="636">
        <v>269894.38</v>
      </c>
      <c r="E681" s="603"/>
    </row>
    <row r="682" spans="1:5" x14ac:dyDescent="0.3">
      <c r="A682" s="635" t="s">
        <v>1054</v>
      </c>
      <c r="B682" s="635">
        <v>105.2</v>
      </c>
      <c r="C682" s="636">
        <v>800</v>
      </c>
      <c r="D682" s="636">
        <v>84160</v>
      </c>
      <c r="E682" s="603"/>
    </row>
    <row r="683" spans="1:5" x14ac:dyDescent="0.3">
      <c r="A683" s="635" t="s">
        <v>1053</v>
      </c>
      <c r="B683" s="635">
        <v>103.64</v>
      </c>
      <c r="C683" s="636">
        <v>481</v>
      </c>
      <c r="D683" s="636">
        <v>49850.84</v>
      </c>
      <c r="E683" s="603"/>
    </row>
    <row r="684" spans="1:5" x14ac:dyDescent="0.3">
      <c r="A684" s="635" t="s">
        <v>1052</v>
      </c>
      <c r="B684" s="635">
        <v>104.3</v>
      </c>
      <c r="C684" s="636">
        <v>451</v>
      </c>
      <c r="D684" s="636">
        <v>47039.3</v>
      </c>
      <c r="E684" s="603"/>
    </row>
    <row r="685" spans="1:5" x14ac:dyDescent="0.3">
      <c r="A685" s="635" t="s">
        <v>1051</v>
      </c>
      <c r="B685" s="635">
        <v>113.89</v>
      </c>
      <c r="C685" s="636">
        <v>6484</v>
      </c>
      <c r="D685" s="636">
        <v>738462.76</v>
      </c>
      <c r="E685" s="603"/>
    </row>
    <row r="686" spans="1:5" x14ac:dyDescent="0.3">
      <c r="A686" s="635" t="s">
        <v>1050</v>
      </c>
      <c r="B686" s="635">
        <v>129.9</v>
      </c>
      <c r="C686" s="636">
        <v>10624</v>
      </c>
      <c r="D686" s="636">
        <v>1380057.6</v>
      </c>
      <c r="E686" s="603"/>
    </row>
    <row r="687" spans="1:5" x14ac:dyDescent="0.3">
      <c r="A687" s="635" t="s">
        <v>1049</v>
      </c>
      <c r="B687" s="635">
        <v>137.1</v>
      </c>
      <c r="C687" s="636">
        <v>7270</v>
      </c>
      <c r="D687" s="636">
        <v>996717</v>
      </c>
      <c r="E687" s="603"/>
    </row>
    <row r="688" spans="1:5" x14ac:dyDescent="0.3">
      <c r="A688" s="635" t="s">
        <v>1048</v>
      </c>
      <c r="B688" s="635">
        <v>140.72</v>
      </c>
      <c r="C688" s="636">
        <v>6523</v>
      </c>
      <c r="D688" s="636">
        <v>917916.55999999994</v>
      </c>
      <c r="E688" s="603"/>
    </row>
    <row r="689" spans="1:5" x14ac:dyDescent="0.3">
      <c r="A689" s="635" t="s">
        <v>1047</v>
      </c>
      <c r="B689" s="635">
        <v>135.72999999999999</v>
      </c>
      <c r="C689" s="636">
        <v>5008</v>
      </c>
      <c r="D689" s="636">
        <v>679735.84</v>
      </c>
      <c r="E689" s="603"/>
    </row>
    <row r="690" spans="1:5" x14ac:dyDescent="0.3">
      <c r="A690" s="635" t="s">
        <v>1046</v>
      </c>
      <c r="B690" s="635">
        <v>129.22</v>
      </c>
      <c r="C690" s="636">
        <v>3244</v>
      </c>
      <c r="D690" s="636">
        <v>419189.68</v>
      </c>
      <c r="E690" s="603"/>
    </row>
    <row r="691" spans="1:5" x14ac:dyDescent="0.3">
      <c r="A691" s="635" t="s">
        <v>1045</v>
      </c>
      <c r="B691" s="635">
        <v>137.99</v>
      </c>
      <c r="C691" s="636">
        <v>6938</v>
      </c>
      <c r="D691" s="636">
        <v>957374.62000000011</v>
      </c>
      <c r="E691" s="603"/>
    </row>
    <row r="692" spans="1:5" x14ac:dyDescent="0.3">
      <c r="A692" s="635" t="s">
        <v>1044</v>
      </c>
      <c r="B692" s="635">
        <v>128.58000000000001</v>
      </c>
      <c r="C692" s="636">
        <v>5520</v>
      </c>
      <c r="D692" s="636">
        <v>709761.60000000009</v>
      </c>
      <c r="E692" s="603"/>
    </row>
    <row r="693" spans="1:5" x14ac:dyDescent="0.3">
      <c r="A693" s="635" t="s">
        <v>1043</v>
      </c>
      <c r="B693" s="635">
        <v>120.3</v>
      </c>
      <c r="C693" s="636">
        <v>2100</v>
      </c>
      <c r="D693" s="636">
        <v>252630</v>
      </c>
      <c r="E693" s="603"/>
    </row>
    <row r="694" spans="1:5" x14ac:dyDescent="0.3">
      <c r="A694" s="635" t="s">
        <v>1042</v>
      </c>
      <c r="B694" s="635">
        <v>116.21</v>
      </c>
      <c r="C694" s="636">
        <v>3264</v>
      </c>
      <c r="D694" s="636">
        <v>379309.44</v>
      </c>
      <c r="E694" s="603"/>
    </row>
    <row r="695" spans="1:5" x14ac:dyDescent="0.3">
      <c r="A695" s="635" t="s">
        <v>1041</v>
      </c>
      <c r="B695" s="635">
        <v>109.64</v>
      </c>
      <c r="C695" s="636">
        <v>3025</v>
      </c>
      <c r="D695" s="636">
        <v>331661</v>
      </c>
      <c r="E695" s="603"/>
    </row>
    <row r="696" spans="1:5" x14ac:dyDescent="0.3">
      <c r="A696" s="635" t="s">
        <v>1040</v>
      </c>
      <c r="B696" s="635">
        <v>105.85</v>
      </c>
      <c r="C696" s="636">
        <v>1512</v>
      </c>
      <c r="D696" s="636">
        <v>160045.20000000001</v>
      </c>
      <c r="E696" s="603"/>
    </row>
    <row r="697" spans="1:5" x14ac:dyDescent="0.3">
      <c r="A697" s="635" t="s">
        <v>1039</v>
      </c>
      <c r="B697" s="635">
        <v>105.56</v>
      </c>
      <c r="C697" s="636">
        <v>3005</v>
      </c>
      <c r="D697" s="636">
        <v>317207.8</v>
      </c>
      <c r="E697" s="603"/>
    </row>
    <row r="698" spans="1:5" x14ac:dyDescent="0.3">
      <c r="A698" s="635" t="s">
        <v>1038</v>
      </c>
      <c r="B698" s="635">
        <v>97.64</v>
      </c>
      <c r="C698" s="636">
        <v>647</v>
      </c>
      <c r="D698" s="636">
        <v>63173.08</v>
      </c>
      <c r="E698" s="603"/>
    </row>
    <row r="699" spans="1:5" x14ac:dyDescent="0.3">
      <c r="A699" s="635" t="s">
        <v>1037</v>
      </c>
      <c r="B699" s="635">
        <v>90.48</v>
      </c>
      <c r="C699" s="636">
        <v>2553</v>
      </c>
      <c r="D699" s="636">
        <v>230995.44</v>
      </c>
      <c r="E699" s="603"/>
    </row>
    <row r="700" spans="1:5" x14ac:dyDescent="0.3">
      <c r="A700" s="635" t="s">
        <v>1036</v>
      </c>
      <c r="B700" s="635">
        <v>83.62</v>
      </c>
      <c r="C700" s="636">
        <v>2961</v>
      </c>
      <c r="D700" s="636">
        <v>247598.82</v>
      </c>
      <c r="E700" s="603"/>
    </row>
    <row r="701" spans="1:5" x14ac:dyDescent="0.3">
      <c r="A701" s="635" t="s">
        <v>1035</v>
      </c>
      <c r="B701" s="635">
        <v>85.33</v>
      </c>
      <c r="C701" s="636">
        <v>1051</v>
      </c>
      <c r="D701" s="636">
        <v>89681.83</v>
      </c>
      <c r="E701" s="603"/>
    </row>
    <row r="702" spans="1:5" x14ac:dyDescent="0.3">
      <c r="A702" s="635" t="s">
        <v>1034</v>
      </c>
      <c r="B702" s="635">
        <v>80.09</v>
      </c>
      <c r="C702" s="636">
        <v>2973</v>
      </c>
      <c r="D702" s="636">
        <v>238107.57</v>
      </c>
      <c r="E702" s="603"/>
    </row>
    <row r="703" spans="1:5" x14ac:dyDescent="0.3">
      <c r="A703" s="635" t="s">
        <v>1033</v>
      </c>
      <c r="B703" s="635">
        <v>85.48</v>
      </c>
      <c r="C703" s="636">
        <v>1530</v>
      </c>
      <c r="D703" s="636">
        <v>130784.4</v>
      </c>
      <c r="E703" s="603"/>
    </row>
    <row r="704" spans="1:5" x14ac:dyDescent="0.3">
      <c r="A704" s="635" t="s">
        <v>1032</v>
      </c>
      <c r="B704" s="635">
        <v>89.82</v>
      </c>
      <c r="C704" s="636">
        <v>2426</v>
      </c>
      <c r="D704" s="636">
        <v>217903.32</v>
      </c>
      <c r="E704" s="603"/>
    </row>
    <row r="705" spans="1:5" x14ac:dyDescent="0.3">
      <c r="A705" s="635" t="s">
        <v>1031</v>
      </c>
      <c r="B705" s="635">
        <v>91.44</v>
      </c>
      <c r="C705" s="636">
        <v>2349</v>
      </c>
      <c r="D705" s="636">
        <v>214792.56</v>
      </c>
      <c r="E705" s="603"/>
    </row>
    <row r="706" spans="1:5" x14ac:dyDescent="0.3">
      <c r="A706" s="635" t="s">
        <v>1030</v>
      </c>
      <c r="B706" s="635">
        <v>91.88</v>
      </c>
      <c r="C706" s="636">
        <v>3571</v>
      </c>
      <c r="D706" s="636">
        <v>328103.48</v>
      </c>
      <c r="E706" s="603"/>
    </row>
    <row r="707" spans="1:5" x14ac:dyDescent="0.3">
      <c r="A707" s="635" t="s">
        <v>1029</v>
      </c>
      <c r="B707" s="635">
        <v>89.58</v>
      </c>
      <c r="C707" s="636">
        <v>1218</v>
      </c>
      <c r="D707" s="636">
        <v>109108.44</v>
      </c>
      <c r="E707" s="603"/>
    </row>
    <row r="708" spans="1:5" x14ac:dyDescent="0.3">
      <c r="A708" s="635" t="s">
        <v>1028</v>
      </c>
      <c r="B708" s="635">
        <v>93.96</v>
      </c>
      <c r="C708" s="636">
        <v>377</v>
      </c>
      <c r="D708" s="636">
        <v>35422.92</v>
      </c>
      <c r="E708" s="603"/>
    </row>
    <row r="709" spans="1:5" x14ac:dyDescent="0.3">
      <c r="A709" s="635" t="s">
        <v>1027</v>
      </c>
      <c r="B709" s="635">
        <v>92.82</v>
      </c>
      <c r="C709" s="636">
        <v>870</v>
      </c>
      <c r="D709" s="636">
        <v>80753.399999999994</v>
      </c>
      <c r="E709" s="603"/>
    </row>
    <row r="710" spans="1:5" x14ac:dyDescent="0.3">
      <c r="A710" s="635" t="s">
        <v>1026</v>
      </c>
      <c r="B710" s="635">
        <v>91.84</v>
      </c>
      <c r="C710" s="636">
        <v>778</v>
      </c>
      <c r="D710" s="636">
        <v>71451.520000000004</v>
      </c>
      <c r="E710" s="603"/>
    </row>
    <row r="711" spans="1:5" x14ac:dyDescent="0.3">
      <c r="A711" s="635" t="s">
        <v>1025</v>
      </c>
      <c r="B711" s="635">
        <v>99.31</v>
      </c>
      <c r="C711" s="636">
        <v>5216</v>
      </c>
      <c r="D711" s="636">
        <v>518000.96</v>
      </c>
      <c r="E711" s="603"/>
    </row>
    <row r="712" spans="1:5" x14ac:dyDescent="0.3">
      <c r="A712" s="635" t="s">
        <v>1024</v>
      </c>
      <c r="B712" s="635">
        <v>95.8</v>
      </c>
      <c r="C712" s="636">
        <v>1582</v>
      </c>
      <c r="D712" s="636">
        <v>151555.6</v>
      </c>
      <c r="E712" s="603"/>
    </row>
    <row r="713" spans="1:5" x14ac:dyDescent="0.3">
      <c r="A713" s="635" t="s">
        <v>1023</v>
      </c>
      <c r="B713" s="635">
        <v>95.46</v>
      </c>
      <c r="C713" s="636">
        <v>946</v>
      </c>
      <c r="D713" s="636">
        <v>90305.159999999989</v>
      </c>
      <c r="E713" s="603"/>
    </row>
    <row r="714" spans="1:5" x14ac:dyDescent="0.3">
      <c r="A714" s="635" t="s">
        <v>1022</v>
      </c>
      <c r="B714" s="635">
        <v>96.31</v>
      </c>
      <c r="C714" s="636">
        <v>3624</v>
      </c>
      <c r="D714" s="636">
        <v>349027.44</v>
      </c>
      <c r="E714" s="603"/>
    </row>
    <row r="715" spans="1:5" x14ac:dyDescent="0.3">
      <c r="A715" s="635" t="s">
        <v>1021</v>
      </c>
      <c r="B715" s="635">
        <v>103.66</v>
      </c>
      <c r="C715" s="636">
        <v>3833</v>
      </c>
      <c r="D715" s="636">
        <v>397328.78</v>
      </c>
      <c r="E715" s="603"/>
    </row>
    <row r="716" spans="1:5" x14ac:dyDescent="0.3">
      <c r="A716" s="635" t="s">
        <v>1020</v>
      </c>
      <c r="B716" s="635">
        <v>101.23</v>
      </c>
      <c r="C716" s="636">
        <v>2197</v>
      </c>
      <c r="D716" s="636">
        <v>222402.31</v>
      </c>
      <c r="E716" s="603"/>
    </row>
    <row r="717" spans="1:5" x14ac:dyDescent="0.3">
      <c r="A717" s="635" t="s">
        <v>1019</v>
      </c>
      <c r="B717" s="635">
        <v>97.22</v>
      </c>
      <c r="C717" s="636">
        <v>826</v>
      </c>
      <c r="D717" s="636">
        <v>80303.72</v>
      </c>
      <c r="E717" s="603"/>
    </row>
    <row r="718" spans="1:5" x14ac:dyDescent="0.3">
      <c r="A718" s="635" t="s">
        <v>1018</v>
      </c>
      <c r="B718" s="635">
        <v>101.17</v>
      </c>
      <c r="C718" s="636">
        <v>2884</v>
      </c>
      <c r="D718" s="636">
        <v>291774.28000000003</v>
      </c>
      <c r="E718" s="603"/>
    </row>
    <row r="719" spans="1:5" x14ac:dyDescent="0.3">
      <c r="A719" s="635" t="s">
        <v>1017</v>
      </c>
      <c r="B719" s="635">
        <v>105.29</v>
      </c>
      <c r="C719" s="636">
        <v>2285</v>
      </c>
      <c r="D719" s="636">
        <v>240587.65</v>
      </c>
      <c r="E719" s="603"/>
    </row>
    <row r="720" spans="1:5" x14ac:dyDescent="0.3">
      <c r="A720" s="635" t="s">
        <v>1016</v>
      </c>
      <c r="B720" s="635">
        <v>109.52</v>
      </c>
      <c r="C720" s="636">
        <v>6270</v>
      </c>
      <c r="D720" s="636">
        <v>686690.4</v>
      </c>
      <c r="E720" s="603"/>
    </row>
    <row r="721" spans="1:5" x14ac:dyDescent="0.3">
      <c r="A721" s="635" t="s">
        <v>1015</v>
      </c>
      <c r="B721" s="635">
        <v>108.37</v>
      </c>
      <c r="C721" s="636">
        <v>2950</v>
      </c>
      <c r="D721" s="636">
        <v>319691.5</v>
      </c>
      <c r="E721" s="603"/>
    </row>
    <row r="722" spans="1:5" x14ac:dyDescent="0.3">
      <c r="A722" s="635" t="s">
        <v>1014</v>
      </c>
      <c r="B722" s="635">
        <v>105.95</v>
      </c>
      <c r="C722" s="636">
        <v>1096</v>
      </c>
      <c r="D722" s="636">
        <v>116121.2</v>
      </c>
      <c r="E722" s="603"/>
    </row>
    <row r="723" spans="1:5" x14ac:dyDescent="0.3">
      <c r="A723" s="635" t="s">
        <v>1013</v>
      </c>
      <c r="B723" s="635">
        <v>107.21</v>
      </c>
      <c r="C723" s="636">
        <v>1331</v>
      </c>
      <c r="D723" s="636">
        <v>142696.51</v>
      </c>
      <c r="E723" s="603"/>
    </row>
    <row r="724" spans="1:5" x14ac:dyDescent="0.3">
      <c r="A724" s="635" t="s">
        <v>1012</v>
      </c>
      <c r="B724" s="635">
        <v>105.6</v>
      </c>
      <c r="C724" s="636">
        <v>1330</v>
      </c>
      <c r="D724" s="636">
        <v>140448</v>
      </c>
      <c r="E724" s="603"/>
    </row>
    <row r="725" spans="1:5" x14ac:dyDescent="0.3">
      <c r="A725" s="635" t="s">
        <v>1011</v>
      </c>
      <c r="B725" s="635">
        <v>102.68</v>
      </c>
      <c r="C725" s="636">
        <v>588</v>
      </c>
      <c r="D725" s="636">
        <v>60375.839999999997</v>
      </c>
      <c r="E725" s="603"/>
    </row>
    <row r="726" spans="1:5" x14ac:dyDescent="0.3">
      <c r="A726" s="635" t="s">
        <v>1010</v>
      </c>
      <c r="B726" s="635">
        <v>101.06</v>
      </c>
      <c r="C726" s="636">
        <v>1104</v>
      </c>
      <c r="D726" s="636">
        <v>111570.24000000001</v>
      </c>
      <c r="E726" s="603"/>
    </row>
    <row r="727" spans="1:5" x14ac:dyDescent="0.3">
      <c r="A727" s="635" t="s">
        <v>1009</v>
      </c>
      <c r="B727" s="635">
        <v>97.63</v>
      </c>
      <c r="C727" s="636">
        <v>811</v>
      </c>
      <c r="D727" s="636">
        <v>79177.929999999993</v>
      </c>
      <c r="E727" s="603"/>
    </row>
    <row r="728" spans="1:5" x14ac:dyDescent="0.3">
      <c r="A728" s="635" t="s">
        <v>1008</v>
      </c>
      <c r="B728" s="635">
        <v>96.52</v>
      </c>
      <c r="C728" s="636">
        <v>626</v>
      </c>
      <c r="D728" s="636">
        <v>60421.52</v>
      </c>
      <c r="E728" s="603"/>
    </row>
    <row r="729" spans="1:5" x14ac:dyDescent="0.3">
      <c r="A729" s="635" t="s">
        <v>1007</v>
      </c>
      <c r="B729" s="635">
        <v>93.78</v>
      </c>
      <c r="C729" s="636">
        <v>1302</v>
      </c>
      <c r="D729" s="636">
        <v>122101.56</v>
      </c>
      <c r="E729" s="603"/>
    </row>
    <row r="730" spans="1:5" x14ac:dyDescent="0.3">
      <c r="A730" s="635" t="s">
        <v>1006</v>
      </c>
      <c r="B730" s="635">
        <v>92.38</v>
      </c>
      <c r="C730" s="636">
        <v>961</v>
      </c>
      <c r="D730" s="636">
        <v>88777.18</v>
      </c>
      <c r="E730" s="603"/>
    </row>
    <row r="731" spans="1:5" x14ac:dyDescent="0.3">
      <c r="A731" s="635" t="s">
        <v>1005</v>
      </c>
      <c r="B731" s="635">
        <v>95.94</v>
      </c>
      <c r="C731" s="636">
        <v>453</v>
      </c>
      <c r="D731" s="636">
        <v>43460.82</v>
      </c>
      <c r="E731" s="603"/>
    </row>
    <row r="732" spans="1:5" x14ac:dyDescent="0.3">
      <c r="A732" s="635" t="s">
        <v>1004</v>
      </c>
      <c r="B732" s="635">
        <v>94.52</v>
      </c>
      <c r="C732" s="636">
        <v>829</v>
      </c>
      <c r="D732" s="636">
        <v>78357.08</v>
      </c>
      <c r="E732" s="603"/>
    </row>
    <row r="733" spans="1:5" x14ac:dyDescent="0.3">
      <c r="A733" s="635" t="s">
        <v>1003</v>
      </c>
      <c r="B733" s="635">
        <v>95.09</v>
      </c>
      <c r="C733" s="636">
        <v>651</v>
      </c>
      <c r="D733" s="636">
        <v>61903.59</v>
      </c>
      <c r="E733" s="603"/>
    </row>
    <row r="734" spans="1:5" x14ac:dyDescent="0.3">
      <c r="A734" s="635" t="s">
        <v>1002</v>
      </c>
      <c r="B734" s="635">
        <v>99.25</v>
      </c>
      <c r="C734" s="636">
        <v>496</v>
      </c>
      <c r="D734" s="636">
        <v>49228</v>
      </c>
      <c r="E734" s="603"/>
    </row>
    <row r="735" spans="1:5" x14ac:dyDescent="0.3">
      <c r="A735" s="635" t="s">
        <v>1001</v>
      </c>
      <c r="B735" s="635">
        <v>99.24</v>
      </c>
      <c r="C735" s="636">
        <v>1383</v>
      </c>
      <c r="D735" s="636">
        <v>137248.92000000001</v>
      </c>
      <c r="E735" s="603"/>
    </row>
    <row r="736" spans="1:5" x14ac:dyDescent="0.3">
      <c r="A736" s="635" t="s">
        <v>1000</v>
      </c>
      <c r="B736" s="635">
        <v>99.5</v>
      </c>
      <c r="C736" s="636">
        <v>938</v>
      </c>
      <c r="D736" s="636">
        <v>93331</v>
      </c>
      <c r="E736" s="603"/>
    </row>
    <row r="737" spans="1:5" x14ac:dyDescent="0.3">
      <c r="A737" s="635" t="s">
        <v>999</v>
      </c>
      <c r="B737" s="635">
        <v>96.64</v>
      </c>
      <c r="C737" s="636">
        <v>764</v>
      </c>
      <c r="D737" s="636">
        <v>73832.960000000006</v>
      </c>
      <c r="E737" s="603"/>
    </row>
    <row r="738" spans="1:5" x14ac:dyDescent="0.3">
      <c r="A738" s="635" t="s">
        <v>998</v>
      </c>
      <c r="B738" s="635">
        <v>95.93</v>
      </c>
      <c r="C738" s="636">
        <v>560</v>
      </c>
      <c r="D738" s="636">
        <v>53720.800000000003</v>
      </c>
      <c r="E738" s="603"/>
    </row>
    <row r="739" spans="1:5" x14ac:dyDescent="0.3">
      <c r="A739" s="635" t="s">
        <v>997</v>
      </c>
      <c r="B739" s="635">
        <v>93.41</v>
      </c>
      <c r="C739" s="636">
        <v>134</v>
      </c>
      <c r="D739" s="636">
        <v>12516.94</v>
      </c>
      <c r="E739" s="603"/>
    </row>
    <row r="740" spans="1:5" x14ac:dyDescent="0.3">
      <c r="A740" s="635" t="s">
        <v>996</v>
      </c>
      <c r="B740" s="635">
        <v>96.47</v>
      </c>
      <c r="C740" s="636">
        <v>400</v>
      </c>
      <c r="D740" s="636">
        <v>38588</v>
      </c>
      <c r="E740" s="603"/>
    </row>
    <row r="741" spans="1:5" x14ac:dyDescent="0.3">
      <c r="A741" s="635" t="s">
        <v>995</v>
      </c>
      <c r="B741" s="635">
        <v>101.24</v>
      </c>
      <c r="C741" s="636">
        <v>3848</v>
      </c>
      <c r="D741" s="636">
        <v>389571.52</v>
      </c>
      <c r="E741" s="603"/>
    </row>
    <row r="742" spans="1:5" x14ac:dyDescent="0.3">
      <c r="A742" s="635" t="s">
        <v>994</v>
      </c>
      <c r="B742" s="635">
        <v>97.16</v>
      </c>
      <c r="C742" s="636">
        <v>250</v>
      </c>
      <c r="D742" s="636">
        <v>24290</v>
      </c>
      <c r="E742" s="603"/>
    </row>
    <row r="743" spans="1:5" x14ac:dyDescent="0.3">
      <c r="A743" s="635" t="s">
        <v>993</v>
      </c>
      <c r="B743" s="635">
        <v>97.42</v>
      </c>
      <c r="C743" s="636">
        <v>534</v>
      </c>
      <c r="D743" s="636">
        <v>52022.28</v>
      </c>
      <c r="E743" s="603"/>
    </row>
    <row r="744" spans="1:5" x14ac:dyDescent="0.3">
      <c r="A744" s="635" t="s">
        <v>992</v>
      </c>
      <c r="B744" s="635">
        <v>97.07</v>
      </c>
      <c r="C744" s="636">
        <v>608</v>
      </c>
      <c r="D744" s="636">
        <v>59018.559999999998</v>
      </c>
      <c r="E744" s="603"/>
    </row>
    <row r="745" spans="1:5" x14ac:dyDescent="0.3">
      <c r="A745" s="635" t="s">
        <v>991</v>
      </c>
      <c r="B745" s="635">
        <v>98.43</v>
      </c>
      <c r="C745" s="636">
        <v>343</v>
      </c>
      <c r="D745" s="636">
        <v>33761.490000000013</v>
      </c>
      <c r="E745" s="603"/>
    </row>
    <row r="746" spans="1:5" x14ac:dyDescent="0.3">
      <c r="A746" s="635" t="s">
        <v>990</v>
      </c>
      <c r="B746" s="635">
        <v>98.14</v>
      </c>
      <c r="C746" s="636">
        <v>565</v>
      </c>
      <c r="D746" s="636">
        <v>55449.1</v>
      </c>
      <c r="E746" s="603"/>
    </row>
    <row r="747" spans="1:5" x14ac:dyDescent="0.3">
      <c r="A747" s="635" t="s">
        <v>989</v>
      </c>
      <c r="B747" s="635">
        <v>99.69</v>
      </c>
      <c r="C747" s="636">
        <v>1173</v>
      </c>
      <c r="D747" s="636">
        <v>116936.37</v>
      </c>
      <c r="E747" s="603"/>
    </row>
    <row r="748" spans="1:5" x14ac:dyDescent="0.3">
      <c r="A748" s="635" t="s">
        <v>988</v>
      </c>
      <c r="B748" s="635">
        <v>98.78</v>
      </c>
      <c r="C748" s="636">
        <v>190</v>
      </c>
      <c r="D748" s="636">
        <v>18768.2</v>
      </c>
      <c r="E748" s="603"/>
    </row>
    <row r="749" spans="1:5" x14ac:dyDescent="0.3">
      <c r="A749" s="635" t="s">
        <v>987</v>
      </c>
      <c r="B749" s="635">
        <v>98.87</v>
      </c>
      <c r="C749" s="636">
        <v>1542</v>
      </c>
      <c r="D749" s="636">
        <v>152457.54</v>
      </c>
      <c r="E749" s="603"/>
    </row>
    <row r="750" spans="1:5" x14ac:dyDescent="0.3">
      <c r="A750" s="635" t="s">
        <v>986</v>
      </c>
      <c r="B750" s="635">
        <v>98.02</v>
      </c>
      <c r="C750" s="636">
        <v>590</v>
      </c>
      <c r="D750" s="636">
        <v>57831.8</v>
      </c>
      <c r="E750" s="603"/>
    </row>
    <row r="751" spans="1:5" x14ac:dyDescent="0.3">
      <c r="A751" s="635" t="s">
        <v>985</v>
      </c>
      <c r="B751" s="635">
        <v>99.02</v>
      </c>
      <c r="C751" s="636">
        <v>1383</v>
      </c>
      <c r="D751" s="636">
        <v>136944.66</v>
      </c>
      <c r="E751" s="603"/>
    </row>
    <row r="752" spans="1:5" x14ac:dyDescent="0.3">
      <c r="A752" s="635" t="s">
        <v>984</v>
      </c>
      <c r="B752" s="635">
        <v>101.49</v>
      </c>
      <c r="C752" s="636">
        <v>100</v>
      </c>
      <c r="D752" s="636">
        <v>10149</v>
      </c>
      <c r="E752" s="603"/>
    </row>
    <row r="753" spans="1:5" x14ac:dyDescent="0.3">
      <c r="A753" s="635" t="s">
        <v>983</v>
      </c>
      <c r="B753" s="635">
        <v>105.17</v>
      </c>
      <c r="C753" s="636">
        <v>4767</v>
      </c>
      <c r="D753" s="636">
        <v>501345.39</v>
      </c>
      <c r="E753" s="603"/>
    </row>
    <row r="754" spans="1:5" x14ac:dyDescent="0.3">
      <c r="A754" s="635" t="s">
        <v>982</v>
      </c>
      <c r="B754" s="635">
        <v>113.42</v>
      </c>
      <c r="C754" s="636">
        <v>3505</v>
      </c>
      <c r="D754" s="636">
        <v>397537.1</v>
      </c>
      <c r="E754" s="603"/>
    </row>
    <row r="755" spans="1:5" x14ac:dyDescent="0.3">
      <c r="A755" s="635" t="s">
        <v>981</v>
      </c>
      <c r="B755" s="635">
        <v>116.44</v>
      </c>
      <c r="C755" s="636">
        <v>5333</v>
      </c>
      <c r="D755" s="636">
        <v>620974.52</v>
      </c>
      <c r="E755" s="603"/>
    </row>
    <row r="756" spans="1:5" x14ac:dyDescent="0.3">
      <c r="A756" s="635" t="s">
        <v>980</v>
      </c>
      <c r="B756" s="635">
        <v>111.37</v>
      </c>
      <c r="C756" s="636">
        <v>1561</v>
      </c>
      <c r="D756" s="636">
        <v>173848.57</v>
      </c>
      <c r="E756" s="603"/>
    </row>
    <row r="757" spans="1:5" x14ac:dyDescent="0.3">
      <c r="A757" s="635" t="s">
        <v>979</v>
      </c>
      <c r="B757" s="635">
        <v>108.63</v>
      </c>
      <c r="C757" s="636">
        <v>543</v>
      </c>
      <c r="D757" s="636">
        <v>58986.09</v>
      </c>
      <c r="E757" s="603"/>
    </row>
    <row r="758" spans="1:5" x14ac:dyDescent="0.3">
      <c r="A758" s="635" t="s">
        <v>978</v>
      </c>
      <c r="B758" s="635">
        <v>108.4</v>
      </c>
      <c r="C758" s="636">
        <v>5148</v>
      </c>
      <c r="D758" s="636">
        <v>558043.20000000007</v>
      </c>
      <c r="E758" s="603"/>
    </row>
    <row r="759" spans="1:5" x14ac:dyDescent="0.3">
      <c r="A759" s="635" t="s">
        <v>977</v>
      </c>
      <c r="B759" s="635">
        <v>108.91</v>
      </c>
      <c r="C759" s="636">
        <v>1792</v>
      </c>
      <c r="D759" s="636">
        <v>195166.72</v>
      </c>
      <c r="E759" s="603"/>
    </row>
    <row r="760" spans="1:5" x14ac:dyDescent="0.3">
      <c r="A760" s="635" t="s">
        <v>976</v>
      </c>
      <c r="B760" s="635">
        <v>111.32</v>
      </c>
      <c r="C760" s="636">
        <v>1879</v>
      </c>
      <c r="D760" s="636">
        <v>209170.28</v>
      </c>
      <c r="E760" s="603"/>
    </row>
    <row r="761" spans="1:5" x14ac:dyDescent="0.3">
      <c r="A761" s="635" t="s">
        <v>975</v>
      </c>
      <c r="B761" s="635">
        <v>109.95</v>
      </c>
      <c r="C761" s="636">
        <v>1712</v>
      </c>
      <c r="D761" s="636">
        <v>188234.4</v>
      </c>
      <c r="E761" s="603"/>
    </row>
    <row r="762" spans="1:5" x14ac:dyDescent="0.3">
      <c r="A762" s="635" t="s">
        <v>974</v>
      </c>
      <c r="B762" s="635">
        <v>112.86</v>
      </c>
      <c r="C762" s="636">
        <v>1095</v>
      </c>
      <c r="D762" s="636">
        <v>123581.7</v>
      </c>
      <c r="E762" s="603"/>
    </row>
    <row r="763" spans="1:5" x14ac:dyDescent="0.3">
      <c r="A763" s="635" t="s">
        <v>973</v>
      </c>
      <c r="B763" s="635">
        <v>113.54</v>
      </c>
      <c r="C763" s="636">
        <v>1148</v>
      </c>
      <c r="D763" s="636">
        <v>130343.92</v>
      </c>
      <c r="E763" s="603"/>
    </row>
    <row r="764" spans="1:5" x14ac:dyDescent="0.3">
      <c r="A764" s="635" t="s">
        <v>972</v>
      </c>
      <c r="B764" s="635">
        <v>111.1</v>
      </c>
      <c r="C764" s="636">
        <v>1571</v>
      </c>
      <c r="D764" s="636">
        <v>174538.1</v>
      </c>
      <c r="E764" s="603"/>
    </row>
    <row r="765" spans="1:5" x14ac:dyDescent="0.3">
      <c r="A765" s="635" t="s">
        <v>971</v>
      </c>
      <c r="B765" s="635">
        <v>112.28</v>
      </c>
      <c r="C765" s="636">
        <v>516</v>
      </c>
      <c r="D765" s="636">
        <v>57936.480000000003</v>
      </c>
      <c r="E765" s="603"/>
    </row>
    <row r="766" spans="1:5" x14ac:dyDescent="0.3">
      <c r="A766" s="635" t="s">
        <v>970</v>
      </c>
      <c r="B766" s="635">
        <v>110.28</v>
      </c>
      <c r="C766" s="636">
        <v>1265</v>
      </c>
      <c r="D766" s="636">
        <v>139504.20000000001</v>
      </c>
      <c r="E766" s="603"/>
    </row>
    <row r="767" spans="1:5" x14ac:dyDescent="0.3">
      <c r="A767" s="635" t="s">
        <v>969</v>
      </c>
      <c r="B767" s="635">
        <v>108.58</v>
      </c>
      <c r="C767" s="636">
        <v>641</v>
      </c>
      <c r="D767" s="636">
        <v>69599.78</v>
      </c>
      <c r="E767" s="603"/>
    </row>
    <row r="768" spans="1:5" x14ac:dyDescent="0.3">
      <c r="A768" s="635" t="s">
        <v>968</v>
      </c>
      <c r="B768" s="635">
        <v>108.58</v>
      </c>
      <c r="C768" s="636">
        <v>70</v>
      </c>
      <c r="D768" s="636">
        <v>7600.5999999999995</v>
      </c>
      <c r="E768" s="603"/>
    </row>
    <row r="769" spans="1:5" x14ac:dyDescent="0.3">
      <c r="A769" s="635" t="s">
        <v>967</v>
      </c>
      <c r="B769" s="635">
        <v>105.46</v>
      </c>
      <c r="C769" s="636">
        <v>536</v>
      </c>
      <c r="D769" s="636">
        <v>56526.559999999998</v>
      </c>
      <c r="E769" s="603"/>
    </row>
    <row r="770" spans="1:5" x14ac:dyDescent="0.3">
      <c r="A770" s="635" t="s">
        <v>966</v>
      </c>
      <c r="B770" s="635">
        <v>105.49</v>
      </c>
      <c r="C770" s="636">
        <v>821</v>
      </c>
      <c r="D770" s="636">
        <v>86607.29</v>
      </c>
      <c r="E770" s="603"/>
    </row>
    <row r="771" spans="1:5" x14ac:dyDescent="0.3">
      <c r="A771" s="635" t="s">
        <v>965</v>
      </c>
      <c r="B771" s="635">
        <v>102.96</v>
      </c>
      <c r="C771" s="636">
        <v>1624</v>
      </c>
      <c r="D771" s="636">
        <v>167207.04000000001</v>
      </c>
      <c r="E771" s="603"/>
    </row>
    <row r="772" spans="1:5" x14ac:dyDescent="0.3">
      <c r="A772" s="635" t="s">
        <v>964</v>
      </c>
      <c r="B772" s="635">
        <v>102.96</v>
      </c>
      <c r="C772" s="636">
        <v>55</v>
      </c>
      <c r="D772" s="636">
        <v>5662.7999999999993</v>
      </c>
      <c r="E772" s="603"/>
    </row>
    <row r="773" spans="1:5" x14ac:dyDescent="0.3">
      <c r="A773" s="635" t="s">
        <v>963</v>
      </c>
      <c r="B773" s="635">
        <v>103.14</v>
      </c>
      <c r="C773" s="636">
        <v>866</v>
      </c>
      <c r="D773" s="636">
        <v>89319.24</v>
      </c>
      <c r="E773" s="603"/>
    </row>
    <row r="774" spans="1:5" x14ac:dyDescent="0.3">
      <c r="A774" s="635" t="s">
        <v>962</v>
      </c>
      <c r="B774" s="635">
        <v>104.86</v>
      </c>
      <c r="C774" s="636">
        <v>362</v>
      </c>
      <c r="D774" s="636">
        <v>37959.32</v>
      </c>
      <c r="E774" s="603"/>
    </row>
    <row r="775" spans="1:5" x14ac:dyDescent="0.3">
      <c r="A775" s="635" t="s">
        <v>961</v>
      </c>
      <c r="B775" s="635">
        <v>104.34</v>
      </c>
      <c r="C775" s="636">
        <v>1523</v>
      </c>
      <c r="D775" s="636">
        <v>158909.82</v>
      </c>
      <c r="E775" s="603"/>
    </row>
    <row r="776" spans="1:5" x14ac:dyDescent="0.3">
      <c r="A776" s="635" t="s">
        <v>960</v>
      </c>
      <c r="B776" s="635">
        <v>103.1</v>
      </c>
      <c r="C776" s="636">
        <v>445</v>
      </c>
      <c r="D776" s="636">
        <v>45879.5</v>
      </c>
      <c r="E776" s="603"/>
    </row>
    <row r="777" spans="1:5" x14ac:dyDescent="0.3">
      <c r="A777" s="635" t="s">
        <v>959</v>
      </c>
      <c r="B777" s="635">
        <v>101.98</v>
      </c>
      <c r="C777" s="636">
        <v>962</v>
      </c>
      <c r="D777" s="636">
        <v>98104.760000000009</v>
      </c>
      <c r="E777" s="603"/>
    </row>
    <row r="778" spans="1:5" x14ac:dyDescent="0.3">
      <c r="A778" s="635" t="s">
        <v>958</v>
      </c>
      <c r="B778" s="635">
        <v>105.18</v>
      </c>
      <c r="C778" s="636">
        <v>215</v>
      </c>
      <c r="D778" s="636">
        <v>22613.7</v>
      </c>
      <c r="E778" s="603"/>
    </row>
    <row r="779" spans="1:5" x14ac:dyDescent="0.3">
      <c r="A779" s="635" t="s">
        <v>957</v>
      </c>
      <c r="B779" s="635">
        <v>104.5</v>
      </c>
      <c r="C779" s="636">
        <v>160</v>
      </c>
      <c r="D779" s="636">
        <v>16720</v>
      </c>
      <c r="E779" s="603"/>
    </row>
    <row r="780" spans="1:5" x14ac:dyDescent="0.3">
      <c r="A780" s="635" t="s">
        <v>956</v>
      </c>
      <c r="B780" s="635">
        <v>106.74</v>
      </c>
      <c r="C780" s="636">
        <v>245</v>
      </c>
      <c r="D780" s="636">
        <v>26151.3</v>
      </c>
      <c r="E780" s="603"/>
    </row>
    <row r="781" spans="1:5" x14ac:dyDescent="0.3">
      <c r="A781" s="635" t="s">
        <v>955</v>
      </c>
      <c r="B781" s="635">
        <v>104.04</v>
      </c>
      <c r="C781" s="636">
        <v>103</v>
      </c>
      <c r="D781" s="636">
        <v>10716.12</v>
      </c>
      <c r="E781" s="603"/>
    </row>
    <row r="782" spans="1:5" x14ac:dyDescent="0.3">
      <c r="A782" s="635" t="s">
        <v>954</v>
      </c>
      <c r="B782" s="635">
        <v>104.1</v>
      </c>
      <c r="C782" s="636">
        <v>301</v>
      </c>
      <c r="D782" s="636">
        <v>31334.1</v>
      </c>
      <c r="E782" s="603"/>
    </row>
    <row r="783" spans="1:5" x14ac:dyDescent="0.3">
      <c r="A783" s="635" t="s">
        <v>953</v>
      </c>
      <c r="B783" s="635">
        <v>103.97</v>
      </c>
      <c r="C783" s="636">
        <v>178</v>
      </c>
      <c r="D783" s="636">
        <v>18506.66</v>
      </c>
      <c r="E783" s="603"/>
    </row>
    <row r="784" spans="1:5" x14ac:dyDescent="0.3">
      <c r="A784" s="635" t="s">
        <v>952</v>
      </c>
      <c r="B784" s="635">
        <v>105.5</v>
      </c>
      <c r="C784" s="636">
        <v>215</v>
      </c>
      <c r="D784" s="636">
        <v>22682.5</v>
      </c>
      <c r="E784" s="603"/>
    </row>
    <row r="785" spans="1:5" x14ac:dyDescent="0.3">
      <c r="A785" s="635" t="s">
        <v>951</v>
      </c>
      <c r="B785" s="635">
        <v>106.3</v>
      </c>
      <c r="C785" s="636">
        <v>157</v>
      </c>
      <c r="D785" s="636">
        <v>16689.099999999999</v>
      </c>
      <c r="E785" s="603"/>
    </row>
    <row r="786" spans="1:5" x14ac:dyDescent="0.3">
      <c r="A786" s="635" t="s">
        <v>950</v>
      </c>
      <c r="B786" s="635">
        <v>105.73</v>
      </c>
      <c r="C786" s="636">
        <v>556</v>
      </c>
      <c r="D786" s="636">
        <v>58785.88</v>
      </c>
      <c r="E786" s="603"/>
    </row>
    <row r="787" spans="1:5" x14ac:dyDescent="0.3">
      <c r="A787" s="635" t="s">
        <v>949</v>
      </c>
      <c r="B787" s="635">
        <v>106.74</v>
      </c>
      <c r="C787" s="636">
        <v>989</v>
      </c>
      <c r="D787" s="636">
        <v>105565.86</v>
      </c>
      <c r="E787" s="603"/>
    </row>
    <row r="788" spans="1:5" x14ac:dyDescent="0.3">
      <c r="A788" s="635" t="s">
        <v>948</v>
      </c>
      <c r="B788" s="635">
        <v>104.21</v>
      </c>
      <c r="C788" s="636">
        <v>235</v>
      </c>
      <c r="D788" s="636">
        <v>24489.35</v>
      </c>
      <c r="E788" s="603"/>
    </row>
    <row r="789" spans="1:5" x14ac:dyDescent="0.3">
      <c r="A789" s="635" t="s">
        <v>947</v>
      </c>
      <c r="B789" s="635">
        <v>107.31</v>
      </c>
      <c r="C789" s="636">
        <v>3231</v>
      </c>
      <c r="D789" s="636">
        <v>346718.61</v>
      </c>
      <c r="E789" s="603"/>
    </row>
    <row r="790" spans="1:5" x14ac:dyDescent="0.3">
      <c r="A790" s="635" t="s">
        <v>946</v>
      </c>
      <c r="B790" s="635">
        <v>106.97</v>
      </c>
      <c r="C790" s="636">
        <v>2051</v>
      </c>
      <c r="D790" s="636">
        <v>219395.47</v>
      </c>
      <c r="E790" s="603"/>
    </row>
    <row r="791" spans="1:5" x14ac:dyDescent="0.3">
      <c r="A791" s="635" t="s">
        <v>945</v>
      </c>
      <c r="B791" s="635">
        <v>103.28</v>
      </c>
      <c r="C791" s="636">
        <v>310</v>
      </c>
      <c r="D791" s="636">
        <v>32016.799999999999</v>
      </c>
      <c r="E791" s="603"/>
    </row>
    <row r="792" spans="1:5" x14ac:dyDescent="0.3">
      <c r="A792" s="635" t="s">
        <v>944</v>
      </c>
      <c r="B792" s="635">
        <v>104.12</v>
      </c>
      <c r="C792" s="636">
        <v>1070</v>
      </c>
      <c r="D792" s="636">
        <v>111408.4</v>
      </c>
      <c r="E792" s="603"/>
    </row>
    <row r="793" spans="1:5" x14ac:dyDescent="0.3">
      <c r="A793" s="635" t="s">
        <v>943</v>
      </c>
      <c r="B793" s="635">
        <v>106.25</v>
      </c>
      <c r="C793" s="636">
        <v>1573</v>
      </c>
      <c r="D793" s="636">
        <v>167131.25</v>
      </c>
      <c r="E793" s="603"/>
    </row>
    <row r="794" spans="1:5" x14ac:dyDescent="0.3">
      <c r="A794" s="635" t="s">
        <v>942</v>
      </c>
      <c r="B794" s="635">
        <v>109.39</v>
      </c>
      <c r="C794" s="636">
        <v>3532</v>
      </c>
      <c r="D794" s="636">
        <v>386365.48</v>
      </c>
      <c r="E794" s="603"/>
    </row>
    <row r="795" spans="1:5" x14ac:dyDescent="0.3">
      <c r="A795" s="635" t="s">
        <v>941</v>
      </c>
      <c r="B795" s="635">
        <v>106.28</v>
      </c>
      <c r="C795" s="636">
        <v>1630</v>
      </c>
      <c r="D795" s="636">
        <v>173236.4</v>
      </c>
      <c r="E795" s="603"/>
    </row>
    <row r="796" spans="1:5" x14ac:dyDescent="0.3">
      <c r="A796" s="635" t="s">
        <v>940</v>
      </c>
      <c r="B796" s="635">
        <v>107.22</v>
      </c>
      <c r="C796" s="636">
        <v>1185</v>
      </c>
      <c r="D796" s="636">
        <v>127055.7</v>
      </c>
      <c r="E796" s="603"/>
    </row>
    <row r="797" spans="1:5" x14ac:dyDescent="0.3">
      <c r="A797" s="635" t="s">
        <v>939</v>
      </c>
      <c r="B797" s="635">
        <v>104.71</v>
      </c>
      <c r="C797" s="636">
        <v>1254</v>
      </c>
      <c r="D797" s="636">
        <v>131306.34</v>
      </c>
      <c r="E797" s="603"/>
    </row>
    <row r="798" spans="1:5" x14ac:dyDescent="0.3">
      <c r="A798" s="635" t="s">
        <v>938</v>
      </c>
      <c r="B798" s="635">
        <v>106.47</v>
      </c>
      <c r="C798" s="636">
        <v>1803</v>
      </c>
      <c r="D798" s="636">
        <v>191965.41</v>
      </c>
      <c r="E798" s="603"/>
    </row>
    <row r="799" spans="1:5" x14ac:dyDescent="0.3">
      <c r="A799" s="635" t="s">
        <v>937</v>
      </c>
      <c r="B799" s="635">
        <v>106.09</v>
      </c>
      <c r="C799" s="636">
        <v>803</v>
      </c>
      <c r="D799" s="636">
        <v>85190.27</v>
      </c>
      <c r="E799" s="603"/>
    </row>
    <row r="800" spans="1:5" x14ac:dyDescent="0.3">
      <c r="A800" s="635" t="s">
        <v>936</v>
      </c>
      <c r="B800" s="635">
        <v>105.95</v>
      </c>
      <c r="C800" s="636">
        <v>1263</v>
      </c>
      <c r="D800" s="636">
        <v>133814.85</v>
      </c>
      <c r="E800" s="603"/>
    </row>
    <row r="801" spans="1:5" x14ac:dyDescent="0.3">
      <c r="A801" s="635" t="s">
        <v>935</v>
      </c>
      <c r="B801" s="635">
        <v>170.07</v>
      </c>
      <c r="C801" s="636">
        <v>2425</v>
      </c>
      <c r="D801" s="636">
        <v>412419.75</v>
      </c>
      <c r="E801" s="603"/>
    </row>
    <row r="802" spans="1:5" x14ac:dyDescent="0.3">
      <c r="A802" s="635" t="s">
        <v>934</v>
      </c>
      <c r="B802" s="635">
        <v>103.64</v>
      </c>
      <c r="C802" s="636">
        <v>315</v>
      </c>
      <c r="D802" s="636">
        <v>32646.6</v>
      </c>
      <c r="E802" s="603"/>
    </row>
    <row r="803" spans="1:5" x14ac:dyDescent="0.3">
      <c r="A803" s="635" t="s">
        <v>933</v>
      </c>
      <c r="B803" s="635">
        <v>103.4</v>
      </c>
      <c r="C803" s="636">
        <v>522</v>
      </c>
      <c r="D803" s="636">
        <v>53974.8</v>
      </c>
      <c r="E803" s="603"/>
    </row>
    <row r="804" spans="1:5" x14ac:dyDescent="0.3">
      <c r="A804" s="635" t="s">
        <v>932</v>
      </c>
      <c r="B804" s="635">
        <v>101.76</v>
      </c>
      <c r="C804" s="636">
        <v>1522</v>
      </c>
      <c r="D804" s="636">
        <v>154878.72</v>
      </c>
      <c r="E804" s="603"/>
    </row>
    <row r="805" spans="1:5" x14ac:dyDescent="0.3">
      <c r="A805" s="635" t="s">
        <v>931</v>
      </c>
      <c r="B805" s="635">
        <v>102.14</v>
      </c>
      <c r="C805" s="636">
        <v>1683</v>
      </c>
      <c r="D805" s="636">
        <v>171901.62</v>
      </c>
      <c r="E805" s="603"/>
    </row>
    <row r="806" spans="1:5" x14ac:dyDescent="0.3">
      <c r="A806" s="635" t="s">
        <v>930</v>
      </c>
      <c r="B806" s="635">
        <v>101.74</v>
      </c>
      <c r="C806" s="636">
        <v>525</v>
      </c>
      <c r="D806" s="636">
        <v>53413.5</v>
      </c>
      <c r="E806" s="603"/>
    </row>
    <row r="807" spans="1:5" x14ac:dyDescent="0.3">
      <c r="A807" s="635" t="s">
        <v>929</v>
      </c>
      <c r="B807" s="635">
        <v>103.22</v>
      </c>
      <c r="C807" s="636">
        <v>1262</v>
      </c>
      <c r="D807" s="636">
        <v>130263.64</v>
      </c>
      <c r="E807" s="603"/>
    </row>
    <row r="808" spans="1:5" x14ac:dyDescent="0.3">
      <c r="A808" s="635" t="s">
        <v>928</v>
      </c>
      <c r="B808" s="635">
        <v>102.45</v>
      </c>
      <c r="C808" s="636">
        <v>539</v>
      </c>
      <c r="D808" s="636">
        <v>55220.55</v>
      </c>
      <c r="E808" s="603"/>
    </row>
    <row r="809" spans="1:5" x14ac:dyDescent="0.3">
      <c r="A809" s="635" t="s">
        <v>927</v>
      </c>
      <c r="B809" s="635">
        <v>100.52</v>
      </c>
      <c r="C809" s="636">
        <v>1439</v>
      </c>
      <c r="D809" s="636">
        <v>144648.28</v>
      </c>
      <c r="E809" s="603"/>
    </row>
    <row r="810" spans="1:5" x14ac:dyDescent="0.3">
      <c r="A810" s="635" t="s">
        <v>926</v>
      </c>
      <c r="B810" s="635">
        <v>100.62</v>
      </c>
      <c r="C810" s="636">
        <v>568</v>
      </c>
      <c r="D810" s="636">
        <v>57152.160000000003</v>
      </c>
      <c r="E810" s="603"/>
    </row>
    <row r="811" spans="1:5" x14ac:dyDescent="0.3">
      <c r="A811" s="635" t="s">
        <v>925</v>
      </c>
      <c r="B811" s="635">
        <v>100.21</v>
      </c>
      <c r="C811" s="636">
        <v>650</v>
      </c>
      <c r="D811" s="636">
        <v>65136.499999999993</v>
      </c>
      <c r="E811" s="603"/>
    </row>
    <row r="812" spans="1:5" x14ac:dyDescent="0.3">
      <c r="A812" s="635" t="s">
        <v>924</v>
      </c>
      <c r="B812" s="635">
        <v>99.31</v>
      </c>
      <c r="C812" s="636">
        <v>708</v>
      </c>
      <c r="D812" s="636">
        <v>70311.48</v>
      </c>
      <c r="E812" s="603"/>
    </row>
    <row r="813" spans="1:5" x14ac:dyDescent="0.3">
      <c r="A813" s="635" t="s">
        <v>923</v>
      </c>
      <c r="B813" s="635">
        <v>102.34</v>
      </c>
      <c r="C813" s="636">
        <v>130</v>
      </c>
      <c r="D813" s="636">
        <v>13304.2</v>
      </c>
      <c r="E813" s="603"/>
    </row>
    <row r="814" spans="1:5" x14ac:dyDescent="0.3">
      <c r="A814" s="635" t="s">
        <v>922</v>
      </c>
      <c r="B814" s="635">
        <v>102.34</v>
      </c>
      <c r="C814" s="636">
        <v>30</v>
      </c>
      <c r="D814" s="636">
        <v>3070.2</v>
      </c>
      <c r="E814" s="603"/>
    </row>
    <row r="815" spans="1:5" x14ac:dyDescent="0.3">
      <c r="A815" s="635" t="s">
        <v>921</v>
      </c>
      <c r="B815" s="635">
        <v>100.35</v>
      </c>
      <c r="C815" s="636">
        <v>1925</v>
      </c>
      <c r="D815" s="636">
        <v>193173.75</v>
      </c>
      <c r="E815" s="603"/>
    </row>
    <row r="816" spans="1:5" x14ac:dyDescent="0.3">
      <c r="A816" s="635" t="s">
        <v>920</v>
      </c>
      <c r="B816" s="635">
        <v>101.1</v>
      </c>
      <c r="C816" s="636">
        <v>280</v>
      </c>
      <c r="D816" s="636">
        <v>28308</v>
      </c>
      <c r="E816" s="603"/>
    </row>
    <row r="817" spans="1:5" x14ac:dyDescent="0.3">
      <c r="A817" s="635" t="s">
        <v>919</v>
      </c>
      <c r="B817" s="635">
        <v>99.74</v>
      </c>
      <c r="C817" s="636">
        <v>101</v>
      </c>
      <c r="D817" s="636">
        <v>10073.74</v>
      </c>
      <c r="E817" s="603"/>
    </row>
    <row r="818" spans="1:5" x14ac:dyDescent="0.3">
      <c r="A818" s="635" t="s">
        <v>918</v>
      </c>
      <c r="B818" s="635">
        <v>100.48</v>
      </c>
      <c r="C818" s="636">
        <v>138</v>
      </c>
      <c r="D818" s="636">
        <v>13866.24</v>
      </c>
      <c r="E818" s="603"/>
    </row>
    <row r="819" spans="1:5" x14ac:dyDescent="0.3">
      <c r="A819" s="635" t="s">
        <v>917</v>
      </c>
      <c r="B819" s="635">
        <v>102.8</v>
      </c>
      <c r="C819" s="636">
        <v>1571</v>
      </c>
      <c r="D819" s="636">
        <v>161498.79999999999</v>
      </c>
      <c r="E819" s="603"/>
    </row>
    <row r="820" spans="1:5" x14ac:dyDescent="0.3">
      <c r="A820" s="635" t="s">
        <v>916</v>
      </c>
      <c r="B820" s="635">
        <v>101.23</v>
      </c>
      <c r="C820" s="636">
        <v>320</v>
      </c>
      <c r="D820" s="636">
        <v>32393.599999999999</v>
      </c>
      <c r="E820" s="603"/>
    </row>
    <row r="821" spans="1:5" x14ac:dyDescent="0.3">
      <c r="A821" s="635" t="s">
        <v>915</v>
      </c>
      <c r="B821" s="635">
        <v>104.7</v>
      </c>
      <c r="C821" s="636">
        <v>1475</v>
      </c>
      <c r="D821" s="636">
        <v>154432.5</v>
      </c>
      <c r="E821" s="603"/>
    </row>
    <row r="822" spans="1:5" x14ac:dyDescent="0.3">
      <c r="A822" s="635" t="s">
        <v>914</v>
      </c>
      <c r="B822" s="635">
        <v>104.7</v>
      </c>
      <c r="C822" s="636">
        <v>53</v>
      </c>
      <c r="D822" s="636">
        <v>5549.1</v>
      </c>
      <c r="E822" s="603"/>
    </row>
    <row r="823" spans="1:5" x14ac:dyDescent="0.3">
      <c r="A823" s="635" t="s">
        <v>913</v>
      </c>
      <c r="B823" s="635">
        <v>108.64</v>
      </c>
      <c r="C823" s="636">
        <v>3546</v>
      </c>
      <c r="D823" s="636">
        <v>385237.44</v>
      </c>
      <c r="E823" s="603"/>
    </row>
    <row r="824" spans="1:5" x14ac:dyDescent="0.3">
      <c r="A824" s="635" t="s">
        <v>912</v>
      </c>
      <c r="B824" s="635">
        <v>111.34</v>
      </c>
      <c r="C824" s="636">
        <v>1674</v>
      </c>
      <c r="D824" s="636">
        <v>186383.16</v>
      </c>
      <c r="E824" s="603"/>
    </row>
    <row r="825" spans="1:5" x14ac:dyDescent="0.3">
      <c r="A825" s="635" t="s">
        <v>911</v>
      </c>
      <c r="B825" s="635">
        <v>105.07</v>
      </c>
      <c r="C825" s="636">
        <v>2076</v>
      </c>
      <c r="D825" s="636">
        <v>218125.32</v>
      </c>
      <c r="E825" s="603"/>
    </row>
    <row r="826" spans="1:5" x14ac:dyDescent="0.3">
      <c r="A826" s="635" t="s">
        <v>910</v>
      </c>
      <c r="B826" s="635">
        <v>109.04</v>
      </c>
      <c r="C826" s="636">
        <v>350</v>
      </c>
      <c r="D826" s="636">
        <v>38164</v>
      </c>
      <c r="E826" s="603"/>
    </row>
    <row r="827" spans="1:5" x14ac:dyDescent="0.3">
      <c r="A827" s="635" t="s">
        <v>909</v>
      </c>
      <c r="B827" s="635">
        <v>109.04</v>
      </c>
      <c r="C827" s="636">
        <v>50</v>
      </c>
      <c r="D827" s="636">
        <v>5452</v>
      </c>
      <c r="E827" s="603"/>
    </row>
    <row r="828" spans="1:5" x14ac:dyDescent="0.3">
      <c r="A828" s="635" t="s">
        <v>908</v>
      </c>
      <c r="B828" s="635">
        <v>112.87</v>
      </c>
      <c r="C828" s="636">
        <v>970</v>
      </c>
      <c r="D828" s="636">
        <v>109483.9</v>
      </c>
      <c r="E828" s="603"/>
    </row>
    <row r="829" spans="1:5" x14ac:dyDescent="0.3">
      <c r="A829" s="635" t="s">
        <v>907</v>
      </c>
      <c r="B829" s="635">
        <v>107.94</v>
      </c>
      <c r="C829" s="636">
        <v>1050</v>
      </c>
      <c r="D829" s="636">
        <v>113337</v>
      </c>
      <c r="E829" s="603"/>
    </row>
    <row r="830" spans="1:5" x14ac:dyDescent="0.3">
      <c r="A830" s="635" t="s">
        <v>906</v>
      </c>
      <c r="B830" s="635">
        <v>104.31</v>
      </c>
      <c r="C830" s="636">
        <v>570</v>
      </c>
      <c r="D830" s="636">
        <v>59456.7</v>
      </c>
      <c r="E830" s="603"/>
    </row>
    <row r="831" spans="1:5" x14ac:dyDescent="0.3">
      <c r="A831" s="635" t="s">
        <v>905</v>
      </c>
      <c r="B831" s="635">
        <v>103.87</v>
      </c>
      <c r="C831" s="636">
        <v>205</v>
      </c>
      <c r="D831" s="636">
        <v>21293.35</v>
      </c>
      <c r="E831" s="603"/>
    </row>
    <row r="832" spans="1:5" x14ac:dyDescent="0.3">
      <c r="A832" s="635" t="s">
        <v>904</v>
      </c>
      <c r="B832" s="635">
        <v>104.11</v>
      </c>
      <c r="C832" s="636">
        <v>540</v>
      </c>
      <c r="D832" s="636">
        <v>56219.4</v>
      </c>
      <c r="E832" s="603"/>
    </row>
    <row r="833" spans="1:5" x14ac:dyDescent="0.3">
      <c r="A833" s="635" t="s">
        <v>903</v>
      </c>
      <c r="B833" s="635">
        <v>105.19</v>
      </c>
      <c r="C833" s="636">
        <v>240</v>
      </c>
      <c r="D833" s="636">
        <v>25245.599999999999</v>
      </c>
      <c r="E833" s="603"/>
    </row>
    <row r="834" spans="1:5" x14ac:dyDescent="0.3">
      <c r="A834" s="635" t="s">
        <v>902</v>
      </c>
      <c r="B834" s="635">
        <v>105.19</v>
      </c>
      <c r="C834" s="636">
        <v>70</v>
      </c>
      <c r="D834" s="636">
        <v>7363.3</v>
      </c>
      <c r="E834" s="603"/>
    </row>
    <row r="835" spans="1:5" x14ac:dyDescent="0.3">
      <c r="A835" s="635" t="s">
        <v>901</v>
      </c>
      <c r="B835" s="635">
        <v>103.94</v>
      </c>
      <c r="C835" s="636">
        <v>120</v>
      </c>
      <c r="D835" s="636">
        <v>12472.8</v>
      </c>
      <c r="E835" s="603"/>
    </row>
    <row r="836" spans="1:5" x14ac:dyDescent="0.3">
      <c r="A836" s="635" t="s">
        <v>900</v>
      </c>
      <c r="B836" s="635">
        <v>106.13</v>
      </c>
      <c r="C836" s="636">
        <v>929</v>
      </c>
      <c r="D836" s="636">
        <v>98594.76999999999</v>
      </c>
      <c r="E836" s="603"/>
    </row>
    <row r="837" spans="1:5" x14ac:dyDescent="0.3">
      <c r="A837" s="635" t="s">
        <v>899</v>
      </c>
      <c r="B837" s="635">
        <v>104.48</v>
      </c>
      <c r="C837" s="636">
        <v>370</v>
      </c>
      <c r="D837" s="636">
        <v>38657.599999999999</v>
      </c>
      <c r="E837" s="603"/>
    </row>
    <row r="838" spans="1:5" x14ac:dyDescent="0.3">
      <c r="A838" s="635" t="s">
        <v>898</v>
      </c>
      <c r="B838" s="635">
        <v>103.63</v>
      </c>
      <c r="C838" s="636">
        <v>375</v>
      </c>
      <c r="D838" s="636">
        <v>38861.25</v>
      </c>
      <c r="E838" s="603"/>
    </row>
    <row r="839" spans="1:5" x14ac:dyDescent="0.3">
      <c r="A839" s="635" t="s">
        <v>897</v>
      </c>
      <c r="B839" s="635">
        <v>103.65</v>
      </c>
      <c r="C839" s="636">
        <v>538</v>
      </c>
      <c r="D839" s="636">
        <v>55763.7</v>
      </c>
      <c r="E839" s="603"/>
    </row>
    <row r="840" spans="1:5" x14ac:dyDescent="0.3">
      <c r="A840" s="635" t="s">
        <v>896</v>
      </c>
      <c r="B840" s="635">
        <v>103.09</v>
      </c>
      <c r="C840" s="636">
        <v>664</v>
      </c>
      <c r="D840" s="636">
        <v>68451.760000000009</v>
      </c>
      <c r="E840" s="603"/>
    </row>
    <row r="841" spans="1:5" x14ac:dyDescent="0.3">
      <c r="A841" s="635" t="s">
        <v>895</v>
      </c>
      <c r="B841" s="635">
        <v>110.36</v>
      </c>
      <c r="C841" s="636">
        <v>3768</v>
      </c>
      <c r="D841" s="636">
        <v>415836.48</v>
      </c>
      <c r="E841" s="603"/>
    </row>
    <row r="842" spans="1:5" x14ac:dyDescent="0.3">
      <c r="A842" s="635" t="s">
        <v>894</v>
      </c>
      <c r="B842" s="635">
        <v>114.62</v>
      </c>
      <c r="C842" s="636">
        <v>6903</v>
      </c>
      <c r="D842" s="636">
        <v>791221.86</v>
      </c>
      <c r="E842" s="603"/>
    </row>
    <row r="843" spans="1:5" x14ac:dyDescent="0.3">
      <c r="A843" s="635" t="s">
        <v>893</v>
      </c>
      <c r="B843" s="635">
        <v>113.92</v>
      </c>
      <c r="C843" s="636">
        <v>9334</v>
      </c>
      <c r="D843" s="636">
        <v>1063329.28</v>
      </c>
      <c r="E843" s="603"/>
    </row>
    <row r="844" spans="1:5" x14ac:dyDescent="0.3">
      <c r="A844" s="635" t="s">
        <v>892</v>
      </c>
      <c r="B844" s="635">
        <v>123.05</v>
      </c>
      <c r="C844" s="636">
        <v>17493</v>
      </c>
      <c r="D844" s="636">
        <v>2152513.65</v>
      </c>
      <c r="E844" s="603"/>
    </row>
    <row r="845" spans="1:5" x14ac:dyDescent="0.3">
      <c r="A845" s="635" t="s">
        <v>891</v>
      </c>
      <c r="B845" s="635">
        <v>123.37</v>
      </c>
      <c r="C845" s="636">
        <v>4708</v>
      </c>
      <c r="D845" s="636">
        <v>580825.96000000008</v>
      </c>
      <c r="E845" s="603"/>
    </row>
    <row r="846" spans="1:5" x14ac:dyDescent="0.3">
      <c r="A846" s="635" t="s">
        <v>890</v>
      </c>
      <c r="B846" s="635">
        <v>119.33</v>
      </c>
      <c r="C846" s="636">
        <v>5986</v>
      </c>
      <c r="D846" s="636">
        <v>714309.38</v>
      </c>
      <c r="E846" s="603"/>
    </row>
    <row r="847" spans="1:5" x14ac:dyDescent="0.3">
      <c r="A847" s="635" t="s">
        <v>889</v>
      </c>
      <c r="B847" s="635">
        <v>116.51</v>
      </c>
      <c r="C847" s="636">
        <v>1715</v>
      </c>
      <c r="D847" s="636">
        <v>199814.65</v>
      </c>
      <c r="E847" s="603"/>
    </row>
    <row r="848" spans="1:5" x14ac:dyDescent="0.3">
      <c r="A848" s="635" t="s">
        <v>888</v>
      </c>
      <c r="B848" s="635">
        <v>112.11</v>
      </c>
      <c r="C848" s="636">
        <v>2588</v>
      </c>
      <c r="D848" s="636">
        <v>290140.68</v>
      </c>
      <c r="E848" s="603"/>
    </row>
    <row r="849" spans="1:5" x14ac:dyDescent="0.3">
      <c r="A849" s="635" t="s">
        <v>887</v>
      </c>
      <c r="B849" s="635">
        <v>113.6</v>
      </c>
      <c r="C849" s="636">
        <v>1570</v>
      </c>
      <c r="D849" s="636">
        <v>178352</v>
      </c>
      <c r="E849" s="603"/>
    </row>
    <row r="850" spans="1:5" x14ac:dyDescent="0.3">
      <c r="A850" s="635" t="s">
        <v>886</v>
      </c>
      <c r="B850" s="635">
        <v>115.5</v>
      </c>
      <c r="C850" s="636">
        <v>9003</v>
      </c>
      <c r="D850" s="636">
        <v>1039846.5</v>
      </c>
      <c r="E850" s="603"/>
    </row>
    <row r="851" spans="1:5" x14ac:dyDescent="0.3">
      <c r="A851" s="635" t="s">
        <v>885</v>
      </c>
      <c r="B851" s="635">
        <v>117.94</v>
      </c>
      <c r="C851" s="636">
        <v>11055</v>
      </c>
      <c r="D851" s="636">
        <v>1303826.7</v>
      </c>
      <c r="E851" s="603"/>
    </row>
    <row r="852" spans="1:5" x14ac:dyDescent="0.3">
      <c r="A852" s="635" t="s">
        <v>884</v>
      </c>
      <c r="B852" s="635">
        <v>123.56</v>
      </c>
      <c r="C852" s="636">
        <v>20529</v>
      </c>
      <c r="D852" s="636">
        <v>2536563.2400000002</v>
      </c>
      <c r="E852" s="603"/>
    </row>
    <row r="853" spans="1:5" x14ac:dyDescent="0.3">
      <c r="A853" s="635" t="s">
        <v>883</v>
      </c>
      <c r="B853" s="635">
        <v>133.12</v>
      </c>
      <c r="C853" s="636">
        <v>10635</v>
      </c>
      <c r="D853" s="636">
        <v>1415731.2</v>
      </c>
      <c r="E853" s="603"/>
    </row>
    <row r="854" spans="1:5" x14ac:dyDescent="0.3">
      <c r="A854" s="635" t="s">
        <v>882</v>
      </c>
      <c r="B854" s="635">
        <v>128.75</v>
      </c>
      <c r="C854" s="636">
        <v>15459</v>
      </c>
      <c r="D854" s="636">
        <v>1990346.25</v>
      </c>
      <c r="E854" s="603"/>
    </row>
    <row r="855" spans="1:5" x14ac:dyDescent="0.3">
      <c r="A855" s="635" t="s">
        <v>881</v>
      </c>
      <c r="B855" s="635">
        <v>141.65</v>
      </c>
      <c r="C855" s="636">
        <v>20918</v>
      </c>
      <c r="D855" s="636">
        <v>2963034.7</v>
      </c>
      <c r="E855" s="603"/>
    </row>
    <row r="856" spans="1:5" x14ac:dyDescent="0.3">
      <c r="A856" s="635" t="s">
        <v>880</v>
      </c>
      <c r="B856" s="635">
        <v>150.82</v>
      </c>
      <c r="C856" s="636">
        <v>21829</v>
      </c>
      <c r="D856" s="636">
        <v>3292249.78</v>
      </c>
      <c r="E856" s="603"/>
    </row>
    <row r="857" spans="1:5" x14ac:dyDescent="0.3">
      <c r="A857" s="635" t="s">
        <v>879</v>
      </c>
      <c r="B857" s="635">
        <v>157.62</v>
      </c>
      <c r="C857" s="636">
        <v>19614</v>
      </c>
      <c r="D857" s="636">
        <v>3091558.68</v>
      </c>
      <c r="E857" s="603"/>
    </row>
    <row r="858" spans="1:5" x14ac:dyDescent="0.3">
      <c r="A858" s="635" t="s">
        <v>878</v>
      </c>
      <c r="B858" s="635">
        <v>164.13</v>
      </c>
      <c r="C858" s="636">
        <v>17255</v>
      </c>
      <c r="D858" s="636">
        <v>2832063.15</v>
      </c>
      <c r="E858" s="603"/>
    </row>
    <row r="859" spans="1:5" x14ac:dyDescent="0.3">
      <c r="A859" s="635" t="s">
        <v>877</v>
      </c>
      <c r="B859" s="635">
        <v>172.01</v>
      </c>
      <c r="C859" s="636">
        <v>11965</v>
      </c>
      <c r="D859" s="636">
        <v>2058099.65</v>
      </c>
      <c r="E859" s="603"/>
    </row>
    <row r="860" spans="1:5" x14ac:dyDescent="0.3">
      <c r="A860" s="635" t="s">
        <v>876</v>
      </c>
      <c r="B860" s="635">
        <v>165.93</v>
      </c>
      <c r="C860" s="636">
        <v>14269</v>
      </c>
      <c r="D860" s="636">
        <v>2367655.17</v>
      </c>
      <c r="E860" s="603"/>
    </row>
    <row r="861" spans="1:5" x14ac:dyDescent="0.3">
      <c r="A861" s="635" t="s">
        <v>875</v>
      </c>
      <c r="B861" s="635">
        <v>163.30000000000001</v>
      </c>
      <c r="C861" s="636">
        <v>9705</v>
      </c>
      <c r="D861" s="636">
        <v>1584826.5</v>
      </c>
      <c r="E861" s="603"/>
    </row>
    <row r="862" spans="1:5" x14ac:dyDescent="0.3">
      <c r="A862" s="635" t="s">
        <v>874</v>
      </c>
      <c r="B862" s="635">
        <v>153.04</v>
      </c>
      <c r="C862" s="636">
        <v>13513</v>
      </c>
      <c r="D862" s="636">
        <v>2068029.52</v>
      </c>
      <c r="E862" s="603"/>
    </row>
    <row r="863" spans="1:5" x14ac:dyDescent="0.3">
      <c r="A863" s="635" t="s">
        <v>873</v>
      </c>
      <c r="B863" s="635">
        <v>141.53</v>
      </c>
      <c r="C863" s="636">
        <v>6422</v>
      </c>
      <c r="D863" s="636">
        <v>908905.66</v>
      </c>
      <c r="E863" s="603"/>
    </row>
    <row r="864" spans="1:5" x14ac:dyDescent="0.3">
      <c r="A864" s="635" t="s">
        <v>872</v>
      </c>
      <c r="B864" s="635">
        <v>139.28</v>
      </c>
      <c r="C864" s="636">
        <v>3171</v>
      </c>
      <c r="D864" s="636">
        <v>441656.88</v>
      </c>
      <c r="E864" s="603"/>
    </row>
    <row r="865" spans="1:5" x14ac:dyDescent="0.3">
      <c r="A865" s="635" t="s">
        <v>871</v>
      </c>
      <c r="B865" s="635">
        <v>143.62</v>
      </c>
      <c r="C865" s="636">
        <v>7845</v>
      </c>
      <c r="D865" s="636">
        <v>1126698.8999999999</v>
      </c>
      <c r="E865" s="603"/>
    </row>
    <row r="866" spans="1:5" x14ac:dyDescent="0.3">
      <c r="A866" s="635" t="s">
        <v>870</v>
      </c>
      <c r="B866" s="635">
        <v>141.78</v>
      </c>
      <c r="C866" s="636">
        <v>4378</v>
      </c>
      <c r="D866" s="636">
        <v>620712.84</v>
      </c>
      <c r="E866" s="603"/>
    </row>
    <row r="867" spans="1:5" x14ac:dyDescent="0.3">
      <c r="A867" s="635" t="s">
        <v>869</v>
      </c>
      <c r="B867" s="635">
        <v>140.81</v>
      </c>
      <c r="C867" s="636">
        <v>6821</v>
      </c>
      <c r="D867" s="636">
        <v>960465.01</v>
      </c>
      <c r="E867" s="603"/>
    </row>
    <row r="868" spans="1:5" x14ac:dyDescent="0.3">
      <c r="A868" s="635" t="s">
        <v>868</v>
      </c>
      <c r="B868" s="635">
        <v>118.14</v>
      </c>
      <c r="C868" s="636">
        <v>8982</v>
      </c>
      <c r="D868" s="636">
        <v>1061133.48</v>
      </c>
      <c r="E868" s="603"/>
    </row>
    <row r="869" spans="1:5" x14ac:dyDescent="0.3">
      <c r="A869" s="635" t="s">
        <v>867</v>
      </c>
      <c r="B869" s="635">
        <v>92.6</v>
      </c>
      <c r="C869" s="636">
        <v>10347</v>
      </c>
      <c r="D869" s="636">
        <v>958132.2</v>
      </c>
      <c r="E869" s="603"/>
    </row>
    <row r="870" spans="1:5" x14ac:dyDescent="0.3">
      <c r="A870" s="635" t="s">
        <v>866</v>
      </c>
      <c r="B870" s="635">
        <v>83.72</v>
      </c>
      <c r="C870" s="636">
        <v>4267</v>
      </c>
      <c r="D870" s="636">
        <v>357233.24</v>
      </c>
      <c r="E870" s="603"/>
    </row>
    <row r="871" spans="1:5" x14ac:dyDescent="0.3">
      <c r="A871" s="635" t="s">
        <v>2969</v>
      </c>
      <c r="B871" s="635">
        <v>90.19</v>
      </c>
      <c r="C871" s="636">
        <v>2526</v>
      </c>
      <c r="D871" s="636">
        <v>227819.94</v>
      </c>
      <c r="E871" s="603"/>
    </row>
    <row r="872" spans="1:5" x14ac:dyDescent="0.3">
      <c r="A872" s="635" t="s">
        <v>865</v>
      </c>
      <c r="B872" s="635">
        <v>98.99</v>
      </c>
      <c r="C872" s="636">
        <v>2031</v>
      </c>
      <c r="D872" s="636">
        <v>201048.69</v>
      </c>
      <c r="E872" s="603"/>
    </row>
    <row r="873" spans="1:5" x14ac:dyDescent="0.3">
      <c r="A873" s="635" t="s">
        <v>864</v>
      </c>
      <c r="B873" s="635">
        <v>104.88</v>
      </c>
      <c r="C873" s="636">
        <v>9319</v>
      </c>
      <c r="D873" s="636">
        <v>977376.72</v>
      </c>
      <c r="E873" s="603"/>
    </row>
    <row r="874" spans="1:5" x14ac:dyDescent="0.3">
      <c r="A874" s="635" t="s">
        <v>863</v>
      </c>
      <c r="B874" s="635">
        <v>109.52</v>
      </c>
      <c r="C874" s="636">
        <v>1260</v>
      </c>
      <c r="D874" s="636">
        <v>137995.20000000001</v>
      </c>
      <c r="E874" s="603"/>
    </row>
    <row r="875" spans="1:5" x14ac:dyDescent="0.3">
      <c r="A875" s="635" t="s">
        <v>862</v>
      </c>
      <c r="B875" s="635">
        <v>113.88</v>
      </c>
      <c r="C875" s="636">
        <v>4401</v>
      </c>
      <c r="D875" s="636">
        <v>501185.88</v>
      </c>
      <c r="E875" s="603"/>
    </row>
    <row r="876" spans="1:5" x14ac:dyDescent="0.3">
      <c r="A876" s="635" t="s">
        <v>861</v>
      </c>
      <c r="B876" s="635">
        <v>114.61</v>
      </c>
      <c r="C876" s="636">
        <v>3554</v>
      </c>
      <c r="D876" s="636">
        <v>407323.94</v>
      </c>
      <c r="E876" s="603"/>
    </row>
    <row r="877" spans="1:5" x14ac:dyDescent="0.3">
      <c r="A877" s="635" t="s">
        <v>860</v>
      </c>
      <c r="B877" s="635">
        <v>123.74</v>
      </c>
      <c r="C877" s="636">
        <v>10951</v>
      </c>
      <c r="D877" s="636">
        <v>1355076.74</v>
      </c>
      <c r="E877" s="603"/>
    </row>
    <row r="878" spans="1:5" x14ac:dyDescent="0.3">
      <c r="A878" s="635" t="s">
        <v>859</v>
      </c>
      <c r="B878" s="635">
        <v>128.94999999999999</v>
      </c>
      <c r="C878" s="636">
        <v>6909</v>
      </c>
      <c r="D878" s="636">
        <v>890915.54999999993</v>
      </c>
      <c r="E878" s="603"/>
    </row>
    <row r="879" spans="1:5" x14ac:dyDescent="0.3">
      <c r="A879" s="635" t="s">
        <v>858</v>
      </c>
      <c r="B879" s="635">
        <v>131.83000000000001</v>
      </c>
      <c r="C879" s="636">
        <v>4649</v>
      </c>
      <c r="D879" s="636">
        <v>612877.67000000004</v>
      </c>
      <c r="E879" s="603"/>
    </row>
    <row r="880" spans="1:5" x14ac:dyDescent="0.3">
      <c r="A880" s="635" t="s">
        <v>857</v>
      </c>
      <c r="B880" s="635">
        <v>129.91999999999999</v>
      </c>
      <c r="C880" s="636">
        <v>5499</v>
      </c>
      <c r="D880" s="636">
        <v>714430.08</v>
      </c>
      <c r="E880" s="603"/>
    </row>
    <row r="881" spans="1:5" x14ac:dyDescent="0.3">
      <c r="A881" s="635" t="s">
        <v>856</v>
      </c>
      <c r="B881" s="635">
        <v>126.79</v>
      </c>
      <c r="C881" s="636">
        <v>3497</v>
      </c>
      <c r="D881" s="636">
        <v>443384.63</v>
      </c>
      <c r="E881" s="603"/>
    </row>
    <row r="882" spans="1:5" x14ac:dyDescent="0.3">
      <c r="A882" s="635" t="s">
        <v>855</v>
      </c>
      <c r="B882" s="635">
        <v>124.34</v>
      </c>
      <c r="C882" s="636">
        <v>3279</v>
      </c>
      <c r="D882" s="636">
        <v>407710.86</v>
      </c>
      <c r="E882" s="603"/>
    </row>
    <row r="883" spans="1:5" x14ac:dyDescent="0.3">
      <c r="A883" s="635" t="s">
        <v>854</v>
      </c>
      <c r="B883" s="635">
        <v>121.64</v>
      </c>
      <c r="C883" s="636">
        <v>3509</v>
      </c>
      <c r="D883" s="636">
        <v>426834.76</v>
      </c>
      <c r="E883" s="603"/>
    </row>
    <row r="884" spans="1:5" x14ac:dyDescent="0.3">
      <c r="A884" s="635" t="s">
        <v>853</v>
      </c>
      <c r="B884" s="635">
        <v>127.75</v>
      </c>
      <c r="C884" s="636">
        <v>5434</v>
      </c>
      <c r="D884" s="636">
        <v>694193.5</v>
      </c>
      <c r="E884" s="603"/>
    </row>
    <row r="885" spans="1:5" x14ac:dyDescent="0.3">
      <c r="A885" s="635" t="s">
        <v>852</v>
      </c>
      <c r="B885" s="635">
        <v>129.93</v>
      </c>
      <c r="C885" s="636">
        <v>4864</v>
      </c>
      <c r="D885" s="636">
        <v>631979.52000000002</v>
      </c>
      <c r="E885" s="603"/>
    </row>
    <row r="886" spans="1:5" x14ac:dyDescent="0.3">
      <c r="A886" s="635" t="s">
        <v>851</v>
      </c>
      <c r="B886" s="635">
        <v>137.46</v>
      </c>
      <c r="C886" s="636">
        <v>17762</v>
      </c>
      <c r="D886" s="636">
        <v>2441564.52</v>
      </c>
      <c r="E886" s="603"/>
    </row>
    <row r="887" spans="1:5" x14ac:dyDescent="0.3">
      <c r="A887" s="635" t="s">
        <v>850</v>
      </c>
      <c r="B887" s="635">
        <v>150.11000000000001</v>
      </c>
      <c r="C887" s="636">
        <v>10879</v>
      </c>
      <c r="D887" s="636">
        <v>1633046.69</v>
      </c>
      <c r="E887" s="603"/>
    </row>
    <row r="888" spans="1:5" x14ac:dyDescent="0.3">
      <c r="A888" s="635" t="s">
        <v>2968</v>
      </c>
      <c r="B888" s="635">
        <v>164.46</v>
      </c>
      <c r="C888" s="636">
        <v>6566</v>
      </c>
      <c r="D888" s="636">
        <v>1079844.3600000001</v>
      </c>
      <c r="E888" s="603"/>
    </row>
    <row r="889" spans="1:5" x14ac:dyDescent="0.3">
      <c r="A889" s="635" t="s">
        <v>849</v>
      </c>
      <c r="B889" s="635">
        <v>179.87</v>
      </c>
      <c r="C889" s="636">
        <v>14298</v>
      </c>
      <c r="D889" s="636">
        <v>2571781.2599999998</v>
      </c>
      <c r="E889" s="603"/>
    </row>
    <row r="890" spans="1:5" x14ac:dyDescent="0.3">
      <c r="A890" s="635" t="s">
        <v>848</v>
      </c>
      <c r="B890" s="635">
        <v>186.43</v>
      </c>
      <c r="C890" s="636">
        <v>18805</v>
      </c>
      <c r="D890" s="636">
        <v>3505816.15</v>
      </c>
      <c r="E890" s="603"/>
    </row>
    <row r="891" spans="1:5" x14ac:dyDescent="0.3">
      <c r="A891" s="635" t="s">
        <v>847</v>
      </c>
      <c r="B891" s="635">
        <v>174.28</v>
      </c>
      <c r="C891" s="636">
        <v>9518</v>
      </c>
      <c r="D891" s="636">
        <v>1658797.04</v>
      </c>
      <c r="E891" s="603"/>
    </row>
    <row r="892" spans="1:5" x14ac:dyDescent="0.3">
      <c r="A892" s="635" t="s">
        <v>846</v>
      </c>
      <c r="B892" s="635">
        <v>187.25</v>
      </c>
      <c r="C892" s="636">
        <v>16150</v>
      </c>
      <c r="D892" s="636">
        <v>3024087.5</v>
      </c>
      <c r="E892" s="603"/>
    </row>
    <row r="893" spans="1:5" x14ac:dyDescent="0.3">
      <c r="A893" s="635" t="s">
        <v>845</v>
      </c>
      <c r="B893" s="635">
        <v>205.05</v>
      </c>
      <c r="C893" s="636">
        <v>11481</v>
      </c>
      <c r="D893" s="636">
        <v>2354179.0499999998</v>
      </c>
      <c r="E893" s="603"/>
    </row>
    <row r="894" spans="1:5" x14ac:dyDescent="0.3">
      <c r="A894" s="635" t="s">
        <v>844</v>
      </c>
      <c r="B894" s="635">
        <v>217.97</v>
      </c>
      <c r="C894" s="636">
        <v>17400</v>
      </c>
      <c r="D894" s="636">
        <v>3792678</v>
      </c>
      <c r="E894" s="603"/>
    </row>
    <row r="895" spans="1:5" x14ac:dyDescent="0.3">
      <c r="A895" s="635" t="s">
        <v>843</v>
      </c>
      <c r="B895" s="635">
        <v>210.32</v>
      </c>
      <c r="C895" s="636">
        <v>10386</v>
      </c>
      <c r="D895" s="636">
        <v>2184383.52</v>
      </c>
      <c r="E895" s="603"/>
    </row>
    <row r="896" spans="1:5" x14ac:dyDescent="0.3">
      <c r="A896" s="635" t="s">
        <v>842</v>
      </c>
      <c r="B896" s="635">
        <v>211.06</v>
      </c>
      <c r="C896" s="636">
        <v>10218</v>
      </c>
      <c r="D896" s="636">
        <v>2156611.08</v>
      </c>
      <c r="E896" s="603"/>
    </row>
    <row r="897" spans="1:5" x14ac:dyDescent="0.3">
      <c r="A897" s="635" t="s">
        <v>841</v>
      </c>
      <c r="B897" s="635">
        <v>206.5</v>
      </c>
      <c r="C897" s="636">
        <v>5250</v>
      </c>
      <c r="D897" s="636">
        <v>1084125</v>
      </c>
      <c r="E897" s="603"/>
    </row>
    <row r="898" spans="1:5" x14ac:dyDescent="0.3">
      <c r="A898" s="635" t="s">
        <v>840</v>
      </c>
      <c r="B898" s="635">
        <v>200.63</v>
      </c>
      <c r="C898" s="636">
        <v>10574</v>
      </c>
      <c r="D898" s="636">
        <v>2121461.62</v>
      </c>
      <c r="E898" s="603"/>
    </row>
    <row r="899" spans="1:5" x14ac:dyDescent="0.3">
      <c r="A899" s="635" t="s">
        <v>839</v>
      </c>
      <c r="B899" s="635">
        <v>206.25</v>
      </c>
      <c r="C899" s="636">
        <v>9280</v>
      </c>
      <c r="D899" s="636">
        <v>1914000</v>
      </c>
      <c r="E899" s="603"/>
    </row>
    <row r="900" spans="1:5" x14ac:dyDescent="0.3">
      <c r="A900" s="635" t="s">
        <v>838</v>
      </c>
      <c r="B900" s="635">
        <v>203.62</v>
      </c>
      <c r="C900" s="636">
        <v>4281</v>
      </c>
      <c r="D900" s="636">
        <v>871697.22</v>
      </c>
      <c r="E900" s="603"/>
    </row>
    <row r="901" spans="1:5" x14ac:dyDescent="0.3">
      <c r="A901" s="635" t="s">
        <v>837</v>
      </c>
      <c r="B901" s="635">
        <v>206.44</v>
      </c>
      <c r="C901" s="636">
        <v>9221</v>
      </c>
      <c r="D901" s="636">
        <v>1903583.24</v>
      </c>
      <c r="E901" s="603"/>
    </row>
    <row r="902" spans="1:5" x14ac:dyDescent="0.3">
      <c r="A902" s="635" t="s">
        <v>836</v>
      </c>
      <c r="B902" s="635">
        <v>202.69</v>
      </c>
      <c r="C902" s="636">
        <v>10925</v>
      </c>
      <c r="D902" s="636">
        <v>2214388.25</v>
      </c>
      <c r="E902" s="603"/>
    </row>
    <row r="903" spans="1:5" x14ac:dyDescent="0.3">
      <c r="A903" s="635" t="s">
        <v>835</v>
      </c>
      <c r="B903" s="635">
        <v>206.03</v>
      </c>
      <c r="C903" s="636">
        <v>8217</v>
      </c>
      <c r="D903" s="636">
        <v>1692948.51</v>
      </c>
      <c r="E903" s="603"/>
    </row>
    <row r="904" spans="1:5" x14ac:dyDescent="0.3">
      <c r="A904" s="635" t="s">
        <v>834</v>
      </c>
      <c r="B904" s="635">
        <v>220.96</v>
      </c>
      <c r="C904" s="636">
        <v>12519</v>
      </c>
      <c r="D904" s="636">
        <v>2766198.24</v>
      </c>
      <c r="E904" s="603"/>
    </row>
    <row r="905" spans="1:5" x14ac:dyDescent="0.3">
      <c r="A905" s="635" t="s">
        <v>833</v>
      </c>
      <c r="B905" s="635">
        <v>226.07</v>
      </c>
      <c r="C905" s="636">
        <v>8587</v>
      </c>
      <c r="D905" s="636">
        <v>1941263.09</v>
      </c>
      <c r="E905" s="603"/>
    </row>
    <row r="906" spans="1:5" x14ac:dyDescent="0.3">
      <c r="A906" s="635" t="s">
        <v>832</v>
      </c>
      <c r="B906" s="635">
        <v>235.59</v>
      </c>
      <c r="C906" s="636">
        <v>9921</v>
      </c>
      <c r="D906" s="636">
        <v>2337288.39</v>
      </c>
      <c r="E906" s="603"/>
    </row>
    <row r="907" spans="1:5" x14ac:dyDescent="0.3">
      <c r="A907" s="635" t="s">
        <v>831</v>
      </c>
      <c r="B907" s="635">
        <v>242.45</v>
      </c>
      <c r="C907" s="636">
        <v>7209</v>
      </c>
      <c r="D907" s="636">
        <v>1747822.05</v>
      </c>
      <c r="E907" s="603"/>
    </row>
    <row r="908" spans="1:5" x14ac:dyDescent="0.3">
      <c r="A908" s="635" t="s">
        <v>830</v>
      </c>
      <c r="B908" s="635">
        <v>254.6</v>
      </c>
      <c r="C908" s="636">
        <v>8123</v>
      </c>
      <c r="D908" s="636">
        <v>2068115.8</v>
      </c>
      <c r="E908" s="603"/>
    </row>
    <row r="909" spans="1:5" x14ac:dyDescent="0.3">
      <c r="A909" s="635" t="s">
        <v>829</v>
      </c>
      <c r="B909" s="635">
        <v>246.73</v>
      </c>
      <c r="C909" s="636">
        <v>12081</v>
      </c>
      <c r="D909" s="636">
        <v>2980745.13</v>
      </c>
      <c r="E909" s="603"/>
    </row>
    <row r="910" spans="1:5" x14ac:dyDescent="0.3">
      <c r="A910" s="635" t="s">
        <v>828</v>
      </c>
      <c r="B910" s="635">
        <v>249.53</v>
      </c>
      <c r="C910" s="636">
        <v>9451</v>
      </c>
      <c r="D910" s="636">
        <v>2358308.0299999998</v>
      </c>
      <c r="E910" s="603"/>
    </row>
    <row r="911" spans="1:5" x14ac:dyDescent="0.3">
      <c r="A911" s="635" t="s">
        <v>827</v>
      </c>
      <c r="B911" s="635">
        <v>252.41</v>
      </c>
      <c r="C911" s="636">
        <v>4061</v>
      </c>
      <c r="D911" s="636">
        <v>1025037.01</v>
      </c>
      <c r="E911" s="603"/>
    </row>
    <row r="912" spans="1:5" x14ac:dyDescent="0.3">
      <c r="A912" s="635" t="s">
        <v>826</v>
      </c>
      <c r="B912" s="635">
        <v>251.08</v>
      </c>
      <c r="C912" s="636">
        <v>6293</v>
      </c>
      <c r="D912" s="636">
        <v>1580046.44</v>
      </c>
      <c r="E912" s="603"/>
    </row>
    <row r="913" spans="1:5" x14ac:dyDescent="0.3">
      <c r="A913" s="635" t="s">
        <v>825</v>
      </c>
      <c r="B913" s="635">
        <v>263.16000000000003</v>
      </c>
      <c r="C913" s="636">
        <v>5713</v>
      </c>
      <c r="D913" s="636">
        <v>1503433.08</v>
      </c>
      <c r="E913" s="603"/>
    </row>
    <row r="914" spans="1:5" x14ac:dyDescent="0.3">
      <c r="A914" s="635" t="s">
        <v>824</v>
      </c>
      <c r="B914" s="635">
        <v>257.91000000000003</v>
      </c>
      <c r="C914" s="636">
        <v>6203</v>
      </c>
      <c r="D914" s="636">
        <v>1599815.73</v>
      </c>
      <c r="E914" s="603"/>
    </row>
    <row r="915" spans="1:5" x14ac:dyDescent="0.3">
      <c r="A915" s="635" t="s">
        <v>823</v>
      </c>
      <c r="B915" s="635">
        <v>255.21</v>
      </c>
      <c r="C915" s="636">
        <v>5159</v>
      </c>
      <c r="D915" s="636">
        <v>1316628.3899999999</v>
      </c>
      <c r="E915" s="603"/>
    </row>
    <row r="916" spans="1:5" x14ac:dyDescent="0.3">
      <c r="A916" s="635" t="s">
        <v>822</v>
      </c>
      <c r="B916" s="635">
        <v>255.25</v>
      </c>
      <c r="C916" s="636">
        <v>4866</v>
      </c>
      <c r="D916" s="636">
        <v>1242046.5</v>
      </c>
      <c r="E916" s="603"/>
    </row>
    <row r="917" spans="1:5" x14ac:dyDescent="0.3">
      <c r="A917" s="635" t="s">
        <v>821</v>
      </c>
      <c r="B917" s="635">
        <v>249.15</v>
      </c>
      <c r="C917" s="636">
        <v>5955</v>
      </c>
      <c r="D917" s="636">
        <v>1483688.25</v>
      </c>
      <c r="E917" s="603"/>
    </row>
    <row r="918" spans="1:5" x14ac:dyDescent="0.3">
      <c r="A918" s="635" t="s">
        <v>820</v>
      </c>
      <c r="B918" s="635">
        <v>247.88</v>
      </c>
      <c r="C918" s="636">
        <v>7462</v>
      </c>
      <c r="D918" s="636">
        <v>1849680.56</v>
      </c>
      <c r="E918" s="603"/>
    </row>
    <row r="919" spans="1:5" x14ac:dyDescent="0.3">
      <c r="A919" s="635" t="s">
        <v>819</v>
      </c>
      <c r="B919" s="635">
        <v>251.56</v>
      </c>
      <c r="C919" s="636">
        <v>8410</v>
      </c>
      <c r="D919" s="636">
        <v>2115619.6</v>
      </c>
      <c r="E919" s="603"/>
    </row>
    <row r="920" spans="1:5" x14ac:dyDescent="0.3">
      <c r="A920" s="635" t="s">
        <v>818</v>
      </c>
      <c r="B920" s="635">
        <v>261.58</v>
      </c>
      <c r="C920" s="636">
        <v>10981</v>
      </c>
      <c r="D920" s="636">
        <v>2872409.98</v>
      </c>
      <c r="E920" s="603"/>
    </row>
    <row r="921" spans="1:5" x14ac:dyDescent="0.3">
      <c r="A921" s="635" t="s">
        <v>817</v>
      </c>
      <c r="B921" s="635">
        <v>259.94</v>
      </c>
      <c r="C921" s="636">
        <v>3921</v>
      </c>
      <c r="D921" s="636">
        <v>1019224.74</v>
      </c>
      <c r="E921" s="603"/>
    </row>
    <row r="922" spans="1:5" x14ac:dyDescent="0.3">
      <c r="A922" s="635" t="s">
        <v>816</v>
      </c>
      <c r="B922" s="635">
        <v>260.01</v>
      </c>
      <c r="C922" s="636">
        <v>6569</v>
      </c>
      <c r="D922" s="636">
        <v>1708005.69</v>
      </c>
      <c r="E922" s="603"/>
    </row>
    <row r="923" spans="1:5" x14ac:dyDescent="0.3">
      <c r="A923" s="635" t="s">
        <v>815</v>
      </c>
      <c r="B923" s="635">
        <v>257.05</v>
      </c>
      <c r="C923" s="636">
        <v>4672</v>
      </c>
      <c r="D923" s="636">
        <v>1200937.6000000001</v>
      </c>
      <c r="E923" s="603"/>
    </row>
    <row r="924" spans="1:5" x14ac:dyDescent="0.3">
      <c r="A924" s="635" t="s">
        <v>814</v>
      </c>
      <c r="B924" s="635">
        <v>259.58999999999997</v>
      </c>
      <c r="C924" s="636">
        <v>8907</v>
      </c>
      <c r="D924" s="636">
        <v>2312168.13</v>
      </c>
      <c r="E924" s="603"/>
    </row>
    <row r="925" spans="1:5" x14ac:dyDescent="0.3">
      <c r="A925" s="635" t="s">
        <v>813</v>
      </c>
      <c r="B925" s="635">
        <v>253.24</v>
      </c>
      <c r="C925" s="636">
        <v>9061</v>
      </c>
      <c r="D925" s="636">
        <v>2294607.64</v>
      </c>
      <c r="E925" s="603"/>
    </row>
    <row r="926" spans="1:5" x14ac:dyDescent="0.3">
      <c r="A926" s="635" t="s">
        <v>812</v>
      </c>
      <c r="B926" s="635">
        <v>253.97</v>
      </c>
      <c r="C926" s="636">
        <v>6714</v>
      </c>
      <c r="D926" s="636">
        <v>1705154.58</v>
      </c>
      <c r="E926" s="603"/>
    </row>
    <row r="927" spans="1:5" x14ac:dyDescent="0.3">
      <c r="A927" s="635" t="s">
        <v>811</v>
      </c>
      <c r="B927" s="635">
        <v>251.82</v>
      </c>
      <c r="C927" s="636">
        <v>7362</v>
      </c>
      <c r="D927" s="636">
        <v>1853898.84</v>
      </c>
      <c r="E927" s="603"/>
    </row>
    <row r="928" spans="1:5" x14ac:dyDescent="0.3">
      <c r="A928" s="635" t="s">
        <v>810</v>
      </c>
      <c r="B928" s="635">
        <v>250</v>
      </c>
      <c r="C928" s="636">
        <v>7987</v>
      </c>
      <c r="D928" s="636">
        <v>1996750</v>
      </c>
      <c r="E928" s="603"/>
    </row>
    <row r="929" spans="1:5" x14ac:dyDescent="0.3">
      <c r="A929" s="635" t="s">
        <v>809</v>
      </c>
      <c r="B929" s="635">
        <v>240.73</v>
      </c>
      <c r="C929" s="636">
        <v>9620</v>
      </c>
      <c r="D929" s="636">
        <v>2315822.6</v>
      </c>
      <c r="E929" s="603"/>
    </row>
    <row r="930" spans="1:5" x14ac:dyDescent="0.3">
      <c r="A930" s="635" t="s">
        <v>808</v>
      </c>
      <c r="B930" s="635">
        <v>235.28</v>
      </c>
      <c r="C930" s="636">
        <v>6902</v>
      </c>
      <c r="D930" s="636">
        <v>1623902.56</v>
      </c>
      <c r="E930" s="603"/>
    </row>
    <row r="931" spans="1:5" x14ac:dyDescent="0.3">
      <c r="A931" s="635" t="s">
        <v>807</v>
      </c>
      <c r="B931" s="635">
        <v>240.94</v>
      </c>
      <c r="C931" s="636">
        <v>9186</v>
      </c>
      <c r="D931" s="636">
        <v>2213274.84</v>
      </c>
      <c r="E931" s="603"/>
    </row>
    <row r="932" spans="1:5" x14ac:dyDescent="0.3">
      <c r="A932" s="635" t="s">
        <v>806</v>
      </c>
      <c r="B932" s="635">
        <v>241.04</v>
      </c>
      <c r="C932" s="636">
        <v>6506</v>
      </c>
      <c r="D932" s="636">
        <v>1568206.24</v>
      </c>
      <c r="E932" s="603"/>
    </row>
    <row r="933" spans="1:5" x14ac:dyDescent="0.3">
      <c r="A933" s="635" t="s">
        <v>805</v>
      </c>
      <c r="B933" s="635">
        <v>228.95</v>
      </c>
      <c r="C933" s="636">
        <v>11420</v>
      </c>
      <c r="D933" s="636">
        <v>2614609</v>
      </c>
      <c r="E933" s="603"/>
    </row>
    <row r="934" spans="1:5" x14ac:dyDescent="0.3">
      <c r="A934" s="635" t="s">
        <v>804</v>
      </c>
      <c r="B934" s="635">
        <v>218.56</v>
      </c>
      <c r="C934" s="636">
        <v>10563</v>
      </c>
      <c r="D934" s="636">
        <v>2308649.2799999998</v>
      </c>
      <c r="E934" s="603"/>
    </row>
    <row r="935" spans="1:5" x14ac:dyDescent="0.3">
      <c r="A935" s="635" t="s">
        <v>803</v>
      </c>
      <c r="B935" s="635">
        <v>202.6</v>
      </c>
      <c r="C935" s="636">
        <v>10642</v>
      </c>
      <c r="D935" s="636">
        <v>2156069.2000000002</v>
      </c>
      <c r="E935" s="603"/>
    </row>
    <row r="936" spans="1:5" x14ac:dyDescent="0.3">
      <c r="A936" s="635" t="s">
        <v>802</v>
      </c>
      <c r="B936" s="635">
        <v>202.33</v>
      </c>
      <c r="C936" s="636">
        <v>8560</v>
      </c>
      <c r="D936" s="636">
        <v>1731944.8</v>
      </c>
      <c r="E936" s="603"/>
    </row>
    <row r="937" spans="1:5" x14ac:dyDescent="0.3">
      <c r="A937" s="635" t="s">
        <v>801</v>
      </c>
      <c r="B937" s="635">
        <v>205.76</v>
      </c>
      <c r="C937" s="636">
        <v>5443</v>
      </c>
      <c r="D937" s="636">
        <v>1119951.68</v>
      </c>
      <c r="E937" s="603"/>
    </row>
    <row r="938" spans="1:5" x14ac:dyDescent="0.3">
      <c r="A938" s="635" t="s">
        <v>800</v>
      </c>
      <c r="B938" s="635">
        <v>198.02</v>
      </c>
      <c r="C938" s="636">
        <v>4906</v>
      </c>
      <c r="D938" s="636">
        <v>971486.12</v>
      </c>
      <c r="E938" s="603"/>
    </row>
    <row r="939" spans="1:5" x14ac:dyDescent="0.3">
      <c r="A939" s="635" t="s">
        <v>799</v>
      </c>
      <c r="B939" s="635">
        <v>194.1</v>
      </c>
      <c r="C939" s="636">
        <v>3646</v>
      </c>
      <c r="D939" s="636">
        <v>707688.6</v>
      </c>
      <c r="E939" s="603"/>
    </row>
    <row r="940" spans="1:5" x14ac:dyDescent="0.3">
      <c r="A940" s="635" t="s">
        <v>798</v>
      </c>
      <c r="B940" s="635">
        <v>183.72</v>
      </c>
      <c r="C940" s="636">
        <v>6989</v>
      </c>
      <c r="D940" s="636">
        <v>1284019.08</v>
      </c>
      <c r="E940" s="603"/>
    </row>
    <row r="941" spans="1:5" x14ac:dyDescent="0.3">
      <c r="A941" s="635" t="s">
        <v>797</v>
      </c>
      <c r="B941" s="635">
        <v>184.01</v>
      </c>
      <c r="C941" s="636">
        <v>4434</v>
      </c>
      <c r="D941" s="636">
        <v>815900.34</v>
      </c>
      <c r="E941" s="603"/>
    </row>
    <row r="942" spans="1:5" x14ac:dyDescent="0.3">
      <c r="A942" s="635" t="s">
        <v>796</v>
      </c>
      <c r="B942" s="635">
        <v>181.79</v>
      </c>
      <c r="C942" s="636">
        <v>6219</v>
      </c>
      <c r="D942" s="636">
        <v>1130552.01</v>
      </c>
      <c r="E942" s="603"/>
    </row>
    <row r="943" spans="1:5" x14ac:dyDescent="0.3">
      <c r="A943" s="635" t="s">
        <v>795</v>
      </c>
      <c r="B943" s="635">
        <v>173.22</v>
      </c>
      <c r="C943" s="636">
        <v>3087</v>
      </c>
      <c r="D943" s="636">
        <v>534730.14</v>
      </c>
      <c r="E943" s="603"/>
    </row>
    <row r="944" spans="1:5" x14ac:dyDescent="0.3">
      <c r="A944" s="635" t="s">
        <v>794</v>
      </c>
      <c r="B944" s="635">
        <v>162.63</v>
      </c>
      <c r="C944" s="636">
        <v>5851</v>
      </c>
      <c r="D944" s="636">
        <v>951548.13</v>
      </c>
      <c r="E944" s="603"/>
    </row>
    <row r="945" spans="1:5" x14ac:dyDescent="0.3">
      <c r="A945" s="635" t="s">
        <v>793</v>
      </c>
      <c r="B945" s="635">
        <v>176</v>
      </c>
      <c r="C945" s="636">
        <v>4346</v>
      </c>
      <c r="D945" s="636">
        <v>764896</v>
      </c>
      <c r="E945" s="603"/>
    </row>
    <row r="946" spans="1:5" x14ac:dyDescent="0.3">
      <c r="A946" s="635" t="s">
        <v>792</v>
      </c>
      <c r="B946" s="635">
        <v>193.59</v>
      </c>
      <c r="C946" s="636">
        <v>2192</v>
      </c>
      <c r="D946" s="636">
        <v>424349.28</v>
      </c>
      <c r="E946" s="603"/>
    </row>
    <row r="947" spans="1:5" x14ac:dyDescent="0.3">
      <c r="A947" s="635" t="s">
        <v>791</v>
      </c>
      <c r="B947" s="635">
        <v>212.94</v>
      </c>
      <c r="C947" s="636">
        <v>1274</v>
      </c>
      <c r="D947" s="636">
        <v>271285.56</v>
      </c>
      <c r="E947" s="603"/>
    </row>
    <row r="948" spans="1:5" x14ac:dyDescent="0.3">
      <c r="A948" s="635" t="s">
        <v>790</v>
      </c>
      <c r="B948" s="635">
        <v>227.37</v>
      </c>
      <c r="C948" s="636">
        <v>15822</v>
      </c>
      <c r="D948" s="636">
        <v>3597448.14</v>
      </c>
      <c r="E948" s="603"/>
    </row>
    <row r="949" spans="1:5" x14ac:dyDescent="0.3">
      <c r="A949" s="635" t="s">
        <v>789</v>
      </c>
      <c r="B949" s="635">
        <v>216.68</v>
      </c>
      <c r="C949" s="636">
        <v>7186</v>
      </c>
      <c r="D949" s="636">
        <v>1557062.48</v>
      </c>
      <c r="E949" s="603"/>
    </row>
    <row r="950" spans="1:5" x14ac:dyDescent="0.3">
      <c r="A950" s="635" t="s">
        <v>788</v>
      </c>
      <c r="B950" s="635">
        <v>207.39</v>
      </c>
      <c r="C950" s="636">
        <v>7707</v>
      </c>
      <c r="D950" s="636">
        <v>1598354.73</v>
      </c>
      <c r="E950" s="603"/>
    </row>
    <row r="951" spans="1:5" x14ac:dyDescent="0.3">
      <c r="A951" s="635" t="s">
        <v>787</v>
      </c>
      <c r="B951" s="635">
        <v>206.59</v>
      </c>
      <c r="C951" s="636">
        <v>3958</v>
      </c>
      <c r="D951" s="636">
        <v>817683.22</v>
      </c>
      <c r="E951" s="603"/>
    </row>
    <row r="952" spans="1:5" x14ac:dyDescent="0.3">
      <c r="A952" s="635" t="s">
        <v>786</v>
      </c>
      <c r="B952" s="635">
        <v>210.63</v>
      </c>
      <c r="C952" s="636">
        <v>8380</v>
      </c>
      <c r="D952" s="636">
        <v>1765079.4</v>
      </c>
      <c r="E952" s="603"/>
    </row>
    <row r="953" spans="1:5" x14ac:dyDescent="0.3">
      <c r="A953" s="635" t="s">
        <v>785</v>
      </c>
      <c r="B953" s="635">
        <v>209.06</v>
      </c>
      <c r="C953" s="636">
        <v>7012</v>
      </c>
      <c r="D953" s="636">
        <v>1465928.72</v>
      </c>
      <c r="E953" s="603"/>
    </row>
    <row r="954" spans="1:5" x14ac:dyDescent="0.3">
      <c r="A954" s="635" t="s">
        <v>784</v>
      </c>
      <c r="B954" s="635">
        <v>201.25</v>
      </c>
      <c r="C954" s="636">
        <v>6646</v>
      </c>
      <c r="D954" s="636">
        <v>1337507.5</v>
      </c>
      <c r="E954" s="603"/>
    </row>
    <row r="955" spans="1:5" x14ac:dyDescent="0.3">
      <c r="A955" s="635" t="s">
        <v>783</v>
      </c>
      <c r="B955" s="635">
        <v>202.56</v>
      </c>
      <c r="C955" s="636">
        <v>3004</v>
      </c>
      <c r="D955" s="636">
        <v>608490.23999999999</v>
      </c>
      <c r="E955" s="603"/>
    </row>
    <row r="956" spans="1:5" x14ac:dyDescent="0.3">
      <c r="A956" s="635" t="s">
        <v>782</v>
      </c>
      <c r="B956" s="635">
        <v>208.5</v>
      </c>
      <c r="C956" s="636">
        <v>3465</v>
      </c>
      <c r="D956" s="636">
        <v>722452.5</v>
      </c>
      <c r="E956" s="603"/>
    </row>
    <row r="957" spans="1:5" x14ac:dyDescent="0.3">
      <c r="A957" s="635" t="s">
        <v>781</v>
      </c>
      <c r="B957" s="635">
        <v>204.15</v>
      </c>
      <c r="C957" s="636">
        <v>1311</v>
      </c>
      <c r="D957" s="636">
        <v>267640.65000000002</v>
      </c>
      <c r="E957" s="603"/>
    </row>
    <row r="958" spans="1:5" x14ac:dyDescent="0.3">
      <c r="A958" s="635" t="s">
        <v>780</v>
      </c>
      <c r="B958" s="635">
        <v>193.93</v>
      </c>
      <c r="C958" s="636">
        <v>5223</v>
      </c>
      <c r="D958" s="636">
        <v>1012896.39</v>
      </c>
      <c r="E958" s="603"/>
    </row>
    <row r="959" spans="1:5" x14ac:dyDescent="0.3">
      <c r="A959" s="635" t="s">
        <v>779</v>
      </c>
      <c r="B959" s="635">
        <v>188.16</v>
      </c>
      <c r="C959" s="636">
        <v>5925</v>
      </c>
      <c r="D959" s="636">
        <v>1114848</v>
      </c>
      <c r="E959" s="603"/>
    </row>
    <row r="960" spans="1:5" x14ac:dyDescent="0.3">
      <c r="A960" s="635" t="s">
        <v>778</v>
      </c>
      <c r="B960" s="635">
        <v>176.75</v>
      </c>
      <c r="C960" s="636">
        <v>3142</v>
      </c>
      <c r="D960" s="636">
        <v>555348.5</v>
      </c>
      <c r="E960" s="603"/>
    </row>
    <row r="961" spans="1:5" x14ac:dyDescent="0.3">
      <c r="A961" s="635" t="s">
        <v>777</v>
      </c>
      <c r="B961" s="635">
        <v>190.57</v>
      </c>
      <c r="C961" s="636">
        <v>2041</v>
      </c>
      <c r="D961" s="636">
        <v>388953.37</v>
      </c>
      <c r="E961" s="603"/>
    </row>
    <row r="962" spans="1:5" x14ac:dyDescent="0.3">
      <c r="A962" s="635" t="s">
        <v>775</v>
      </c>
      <c r="B962" s="635">
        <v>190.57</v>
      </c>
      <c r="C962" s="636" t="s">
        <v>776</v>
      </c>
      <c r="D962" s="636">
        <v>0</v>
      </c>
      <c r="E962" s="603"/>
    </row>
    <row r="963" spans="1:5" x14ac:dyDescent="0.3">
      <c r="A963" s="635" t="s">
        <v>774</v>
      </c>
      <c r="B963" s="635">
        <v>199.48</v>
      </c>
      <c r="C963" s="636">
        <v>4114</v>
      </c>
      <c r="D963" s="636">
        <v>820660.72</v>
      </c>
      <c r="E963" s="603"/>
    </row>
    <row r="964" spans="1:5" x14ac:dyDescent="0.3">
      <c r="A964" s="635" t="s">
        <v>773</v>
      </c>
      <c r="B964" s="635">
        <v>194.69</v>
      </c>
      <c r="C964" s="636">
        <v>3841</v>
      </c>
      <c r="D964" s="636">
        <v>747804.29</v>
      </c>
      <c r="E964" s="603"/>
    </row>
    <row r="965" spans="1:5" x14ac:dyDescent="0.3">
      <c r="A965" s="635" t="s">
        <v>772</v>
      </c>
      <c r="B965" s="635">
        <v>190.52</v>
      </c>
      <c r="C965" s="636">
        <v>3729</v>
      </c>
      <c r="D965" s="636">
        <v>710449.08000000007</v>
      </c>
      <c r="E965" s="603"/>
    </row>
    <row r="966" spans="1:5" x14ac:dyDescent="0.3">
      <c r="A966" s="635" t="s">
        <v>771</v>
      </c>
      <c r="B966" s="635">
        <v>189.18</v>
      </c>
      <c r="C966" s="636">
        <v>2391</v>
      </c>
      <c r="D966" s="636">
        <v>452329.38</v>
      </c>
      <c r="E966" s="603"/>
    </row>
    <row r="967" spans="1:5" x14ac:dyDescent="0.3">
      <c r="A967" s="635" t="s">
        <v>770</v>
      </c>
      <c r="B967" s="635">
        <v>185.82</v>
      </c>
      <c r="C967" s="636">
        <v>5436</v>
      </c>
      <c r="D967" s="636">
        <v>1010117.52</v>
      </c>
      <c r="E967" s="603"/>
    </row>
    <row r="968" spans="1:5" x14ac:dyDescent="0.3">
      <c r="A968" s="635" t="s">
        <v>769</v>
      </c>
      <c r="B968" s="635">
        <v>192.68</v>
      </c>
      <c r="C968" s="636">
        <v>1685</v>
      </c>
      <c r="D968" s="636">
        <v>324665.8</v>
      </c>
      <c r="E968" s="603"/>
    </row>
    <row r="969" spans="1:5" x14ac:dyDescent="0.3">
      <c r="A969" s="635" t="s">
        <v>768</v>
      </c>
      <c r="B969" s="635">
        <v>190.56</v>
      </c>
      <c r="C969" s="636">
        <v>3113</v>
      </c>
      <c r="D969" s="636">
        <v>593213.28</v>
      </c>
      <c r="E969" s="603"/>
    </row>
    <row r="970" spans="1:5" x14ac:dyDescent="0.3">
      <c r="A970" s="635" t="s">
        <v>767</v>
      </c>
      <c r="B970" s="635">
        <v>187.69</v>
      </c>
      <c r="C970" s="636">
        <v>1824</v>
      </c>
      <c r="D970" s="636">
        <v>342346.56</v>
      </c>
      <c r="E970" s="603"/>
    </row>
    <row r="971" spans="1:5" x14ac:dyDescent="0.3">
      <c r="A971" s="635" t="s">
        <v>766</v>
      </c>
      <c r="B971" s="635">
        <v>188.47</v>
      </c>
      <c r="C971" s="636">
        <v>1155</v>
      </c>
      <c r="D971" s="636">
        <v>217682.85</v>
      </c>
      <c r="E971" s="603"/>
    </row>
    <row r="972" spans="1:5" x14ac:dyDescent="0.3">
      <c r="A972" s="635" t="s">
        <v>765</v>
      </c>
      <c r="B972" s="635">
        <v>192.19</v>
      </c>
      <c r="C972" s="636">
        <v>2179</v>
      </c>
      <c r="D972" s="636">
        <v>418782.01</v>
      </c>
      <c r="E972" s="603"/>
    </row>
    <row r="973" spans="1:5" x14ac:dyDescent="0.3">
      <c r="A973" s="635" t="s">
        <v>764</v>
      </c>
      <c r="B973" s="635">
        <v>201.22</v>
      </c>
      <c r="C973" s="636">
        <v>6834</v>
      </c>
      <c r="D973" s="636">
        <v>1375137.48</v>
      </c>
      <c r="E973" s="603"/>
    </row>
    <row r="974" spans="1:5" x14ac:dyDescent="0.3">
      <c r="A974" s="635" t="s">
        <v>763</v>
      </c>
      <c r="B974" s="635">
        <v>219.28</v>
      </c>
      <c r="C974" s="636">
        <v>10964</v>
      </c>
      <c r="D974" s="636">
        <v>2404185.92</v>
      </c>
      <c r="E974" s="603"/>
    </row>
    <row r="975" spans="1:5" x14ac:dyDescent="0.3">
      <c r="A975" s="635" t="s">
        <v>762</v>
      </c>
      <c r="B975" s="635">
        <v>221.81</v>
      </c>
      <c r="C975" s="636">
        <v>5361</v>
      </c>
      <c r="D975" s="636">
        <v>1189123.4099999999</v>
      </c>
      <c r="E975" s="603"/>
    </row>
    <row r="976" spans="1:5" x14ac:dyDescent="0.3">
      <c r="A976" s="635" t="s">
        <v>761</v>
      </c>
      <c r="B976" s="635">
        <v>217.7</v>
      </c>
      <c r="C976" s="636">
        <v>2550</v>
      </c>
      <c r="D976" s="636">
        <v>555135</v>
      </c>
      <c r="E976" s="603"/>
    </row>
    <row r="977" spans="1:5" x14ac:dyDescent="0.3">
      <c r="A977" s="635" t="s">
        <v>760</v>
      </c>
      <c r="B977" s="635">
        <v>219.09</v>
      </c>
      <c r="C977" s="636">
        <v>2906</v>
      </c>
      <c r="D977" s="636">
        <v>636675.54</v>
      </c>
      <c r="E977" s="603"/>
    </row>
    <row r="978" spans="1:5" x14ac:dyDescent="0.3">
      <c r="A978" s="635" t="s">
        <v>759</v>
      </c>
      <c r="B978" s="635">
        <v>219.08</v>
      </c>
      <c r="C978" s="636">
        <v>4281</v>
      </c>
      <c r="D978" s="636">
        <v>937881.4800000001</v>
      </c>
      <c r="E978" s="603"/>
    </row>
    <row r="979" spans="1:5" x14ac:dyDescent="0.3">
      <c r="A979" s="635" t="s">
        <v>758</v>
      </c>
      <c r="B979" s="635">
        <v>215.1</v>
      </c>
      <c r="C979" s="636">
        <v>5196</v>
      </c>
      <c r="D979" s="636">
        <v>1117659.6000000001</v>
      </c>
      <c r="E979" s="603"/>
    </row>
    <row r="980" spans="1:5" x14ac:dyDescent="0.3">
      <c r="A980" s="635" t="s">
        <v>757</v>
      </c>
      <c r="B980" s="635">
        <v>204.32</v>
      </c>
      <c r="C980" s="636">
        <v>1719</v>
      </c>
      <c r="D980" s="636">
        <v>351226.08</v>
      </c>
      <c r="E980" s="603"/>
    </row>
    <row r="981" spans="1:5" x14ac:dyDescent="0.3">
      <c r="A981" s="635" t="s">
        <v>756</v>
      </c>
      <c r="B981" s="635">
        <v>198.98</v>
      </c>
      <c r="C981" s="636">
        <v>4954</v>
      </c>
      <c r="D981" s="636">
        <v>985746.91999999993</v>
      </c>
      <c r="E981" s="603"/>
    </row>
    <row r="982" spans="1:5" x14ac:dyDescent="0.3">
      <c r="A982" s="635" t="s">
        <v>755</v>
      </c>
      <c r="B982" s="635">
        <v>201.86</v>
      </c>
      <c r="C982" s="636">
        <v>4294</v>
      </c>
      <c r="D982" s="636">
        <v>866786.84000000008</v>
      </c>
      <c r="E982" s="603"/>
    </row>
    <row r="983" spans="1:5" x14ac:dyDescent="0.3">
      <c r="A983" s="635" t="s">
        <v>754</v>
      </c>
      <c r="B983" s="635">
        <v>194.16</v>
      </c>
      <c r="C983" s="636">
        <v>2747</v>
      </c>
      <c r="D983" s="636">
        <v>533357.52</v>
      </c>
      <c r="E983" s="603"/>
    </row>
    <row r="984" spans="1:5" x14ac:dyDescent="0.3">
      <c r="A984" s="635" t="s">
        <v>753</v>
      </c>
      <c r="B984" s="635">
        <v>192.76</v>
      </c>
      <c r="C984" s="636">
        <v>3721</v>
      </c>
      <c r="D984" s="636">
        <v>717259.96</v>
      </c>
      <c r="E984" s="603"/>
    </row>
    <row r="985" spans="1:5" x14ac:dyDescent="0.3">
      <c r="A985" s="635" t="s">
        <v>752</v>
      </c>
      <c r="B985" s="635">
        <v>194.2</v>
      </c>
      <c r="C985" s="636">
        <v>2109</v>
      </c>
      <c r="D985" s="636">
        <v>409567.8</v>
      </c>
      <c r="E985" s="603"/>
    </row>
    <row r="986" spans="1:5" x14ac:dyDescent="0.3">
      <c r="A986" s="635" t="s">
        <v>751</v>
      </c>
      <c r="B986" s="635">
        <v>198.05</v>
      </c>
      <c r="C986" s="636">
        <v>3498</v>
      </c>
      <c r="D986" s="636">
        <v>692778.9</v>
      </c>
      <c r="E986" s="603"/>
    </row>
    <row r="987" spans="1:5" x14ac:dyDescent="0.3">
      <c r="A987" s="635" t="s">
        <v>750</v>
      </c>
      <c r="B987" s="635">
        <v>193.88</v>
      </c>
      <c r="C987" s="636">
        <v>703</v>
      </c>
      <c r="D987" s="636">
        <v>136297.64000000001</v>
      </c>
      <c r="E987" s="603"/>
    </row>
    <row r="988" spans="1:5" x14ac:dyDescent="0.3">
      <c r="A988" s="635" t="s">
        <v>749</v>
      </c>
      <c r="B988" s="635">
        <v>187.9</v>
      </c>
      <c r="C988" s="636">
        <v>3295</v>
      </c>
      <c r="D988" s="636">
        <v>619130.5</v>
      </c>
      <c r="E988" s="603"/>
    </row>
    <row r="989" spans="1:5" x14ac:dyDescent="0.3">
      <c r="A989" s="635" t="s">
        <v>748</v>
      </c>
      <c r="B989" s="635">
        <v>178.43</v>
      </c>
      <c r="C989" s="636">
        <v>1526</v>
      </c>
      <c r="D989" s="636">
        <v>272284.18</v>
      </c>
      <c r="E989" s="603"/>
    </row>
    <row r="990" spans="1:5" x14ac:dyDescent="0.3">
      <c r="A990" s="635" t="s">
        <v>747</v>
      </c>
      <c r="B990" s="635">
        <v>179.03</v>
      </c>
      <c r="C990" s="636">
        <v>1922</v>
      </c>
      <c r="D990" s="636">
        <v>344095.66</v>
      </c>
      <c r="E990" s="603"/>
    </row>
    <row r="991" spans="1:5" x14ac:dyDescent="0.3">
      <c r="A991" s="635" t="s">
        <v>746</v>
      </c>
      <c r="B991" s="635">
        <v>171.68</v>
      </c>
      <c r="C991" s="636">
        <v>2187</v>
      </c>
      <c r="D991" s="636">
        <v>375464.16</v>
      </c>
      <c r="E991" s="603"/>
    </row>
    <row r="992" spans="1:5" x14ac:dyDescent="0.3">
      <c r="A992" s="635" t="s">
        <v>745</v>
      </c>
      <c r="B992" s="635">
        <v>158.02000000000001</v>
      </c>
      <c r="C992" s="636">
        <v>7449</v>
      </c>
      <c r="D992" s="636">
        <v>1177090.98</v>
      </c>
      <c r="E992" s="603"/>
    </row>
    <row r="993" spans="1:5" x14ac:dyDescent="0.3">
      <c r="A993" s="635" t="s">
        <v>744</v>
      </c>
      <c r="B993" s="635">
        <v>170.37</v>
      </c>
      <c r="C993" s="636">
        <v>2333</v>
      </c>
      <c r="D993" s="636">
        <v>397473.21</v>
      </c>
      <c r="E993" s="603"/>
    </row>
    <row r="994" spans="1:5" x14ac:dyDescent="0.3">
      <c r="A994" s="635" t="s">
        <v>743</v>
      </c>
      <c r="B994" s="635">
        <v>173.78</v>
      </c>
      <c r="C994" s="636">
        <v>2807</v>
      </c>
      <c r="D994" s="636">
        <v>487800.46</v>
      </c>
      <c r="E994" s="603"/>
    </row>
    <row r="995" spans="1:5" x14ac:dyDescent="0.3">
      <c r="A995" s="635" t="s">
        <v>742</v>
      </c>
      <c r="B995" s="635">
        <v>165.36</v>
      </c>
      <c r="C995" s="636">
        <v>1822</v>
      </c>
      <c r="D995" s="636">
        <v>301285.92</v>
      </c>
      <c r="E995" s="603"/>
    </row>
    <row r="996" spans="1:5" x14ac:dyDescent="0.3">
      <c r="A996" s="635" t="s">
        <v>741</v>
      </c>
      <c r="B996" s="635">
        <v>166.54</v>
      </c>
      <c r="C996" s="636">
        <v>1667</v>
      </c>
      <c r="D996" s="636">
        <v>277622.18</v>
      </c>
      <c r="E996" s="603"/>
    </row>
    <row r="997" spans="1:5" x14ac:dyDescent="0.3">
      <c r="A997" s="635" t="s">
        <v>740</v>
      </c>
      <c r="B997" s="635">
        <v>160.18</v>
      </c>
      <c r="C997" s="636">
        <v>2439</v>
      </c>
      <c r="D997" s="636">
        <v>390679.02</v>
      </c>
      <c r="E997" s="603"/>
    </row>
    <row r="998" spans="1:5" x14ac:dyDescent="0.3">
      <c r="A998" s="635" t="s">
        <v>739</v>
      </c>
      <c r="B998" s="635">
        <v>162.62</v>
      </c>
      <c r="C998" s="636">
        <v>1752</v>
      </c>
      <c r="D998" s="636">
        <v>284910.24</v>
      </c>
      <c r="E998" s="603"/>
    </row>
    <row r="999" spans="1:5" x14ac:dyDescent="0.3">
      <c r="A999" s="635" t="s">
        <v>738</v>
      </c>
      <c r="B999" s="635">
        <v>158.88</v>
      </c>
      <c r="C999" s="636">
        <v>1379</v>
      </c>
      <c r="D999" s="636">
        <v>219095.52</v>
      </c>
      <c r="E999" s="603"/>
    </row>
    <row r="1000" spans="1:5" x14ac:dyDescent="0.3">
      <c r="A1000" s="635" t="s">
        <v>737</v>
      </c>
      <c r="B1000" s="635">
        <v>165.77</v>
      </c>
      <c r="C1000" s="636">
        <v>680</v>
      </c>
      <c r="D1000" s="636">
        <v>112723.6</v>
      </c>
      <c r="E1000" s="603"/>
    </row>
    <row r="1001" spans="1:5" x14ac:dyDescent="0.3">
      <c r="A1001" s="635" t="s">
        <v>736</v>
      </c>
      <c r="B1001" s="635">
        <v>164.2</v>
      </c>
      <c r="C1001" s="636">
        <v>1975</v>
      </c>
      <c r="D1001" s="636">
        <v>324295</v>
      </c>
      <c r="E1001" s="603"/>
    </row>
    <row r="1002" spans="1:5" x14ac:dyDescent="0.3">
      <c r="A1002" s="635" t="s">
        <v>735</v>
      </c>
      <c r="B1002" s="635">
        <v>170.15</v>
      </c>
      <c r="C1002" s="636">
        <v>2620</v>
      </c>
      <c r="D1002" s="636">
        <v>445793</v>
      </c>
      <c r="E1002" s="603"/>
    </row>
    <row r="1003" spans="1:5" x14ac:dyDescent="0.3">
      <c r="A1003" s="635" t="s">
        <v>734</v>
      </c>
      <c r="B1003" s="635">
        <v>173.76</v>
      </c>
      <c r="C1003" s="636">
        <v>2673</v>
      </c>
      <c r="D1003" s="636">
        <v>464460.48</v>
      </c>
      <c r="E1003" s="603"/>
    </row>
    <row r="1004" spans="1:5" x14ac:dyDescent="0.3">
      <c r="A1004" s="635" t="s">
        <v>733</v>
      </c>
      <c r="B1004" s="635">
        <v>170.85</v>
      </c>
      <c r="C1004" s="636">
        <v>973</v>
      </c>
      <c r="D1004" s="636">
        <v>166237.04999999999</v>
      </c>
      <c r="E1004" s="603"/>
    </row>
    <row r="1005" spans="1:5" x14ac:dyDescent="0.3">
      <c r="A1005" s="635" t="s">
        <v>732</v>
      </c>
      <c r="B1005" s="635">
        <v>176.52</v>
      </c>
      <c r="C1005" s="636">
        <v>4031</v>
      </c>
      <c r="D1005" s="636">
        <v>711552.12</v>
      </c>
      <c r="E1005" s="603"/>
    </row>
    <row r="1006" spans="1:5" x14ac:dyDescent="0.3">
      <c r="A1006" s="635" t="s">
        <v>731</v>
      </c>
      <c r="B1006" s="635">
        <v>174.69</v>
      </c>
      <c r="C1006" s="636">
        <v>1138</v>
      </c>
      <c r="D1006" s="636">
        <v>198797.22</v>
      </c>
      <c r="E1006" s="603"/>
    </row>
    <row r="1007" spans="1:5" x14ac:dyDescent="0.3">
      <c r="A1007" s="635" t="s">
        <v>730</v>
      </c>
      <c r="B1007" s="635">
        <v>176.64</v>
      </c>
      <c r="C1007" s="636">
        <v>1002</v>
      </c>
      <c r="D1007" s="636">
        <v>176993.28</v>
      </c>
      <c r="E1007" s="603"/>
    </row>
    <row r="1008" spans="1:5" x14ac:dyDescent="0.3">
      <c r="A1008" s="635" t="s">
        <v>729</v>
      </c>
      <c r="B1008" s="635">
        <v>171.23</v>
      </c>
      <c r="C1008" s="636">
        <v>1824</v>
      </c>
      <c r="D1008" s="636">
        <v>312323.52</v>
      </c>
      <c r="E1008" s="603"/>
    </row>
    <row r="1009" spans="1:5" x14ac:dyDescent="0.3">
      <c r="A1009" s="635" t="s">
        <v>728</v>
      </c>
      <c r="B1009" s="635">
        <v>166.29</v>
      </c>
      <c r="C1009" s="636">
        <v>5025</v>
      </c>
      <c r="D1009" s="636">
        <v>835607.25</v>
      </c>
      <c r="E1009" s="603"/>
    </row>
    <row r="1010" spans="1:5" x14ac:dyDescent="0.3">
      <c r="A1010" s="635" t="s">
        <v>727</v>
      </c>
      <c r="B1010" s="635">
        <v>167.18</v>
      </c>
      <c r="C1010" s="636">
        <v>1328</v>
      </c>
      <c r="D1010" s="636">
        <v>222015.04</v>
      </c>
      <c r="E1010" s="603"/>
    </row>
    <row r="1011" spans="1:5" x14ac:dyDescent="0.3">
      <c r="A1011" s="635" t="s">
        <v>726</v>
      </c>
      <c r="B1011" s="635">
        <v>168.38</v>
      </c>
      <c r="C1011" s="636">
        <v>1825</v>
      </c>
      <c r="D1011" s="636">
        <v>307293.5</v>
      </c>
      <c r="E1011" s="603"/>
    </row>
    <row r="1012" spans="1:5" x14ac:dyDescent="0.3">
      <c r="A1012" s="635" t="s">
        <v>725</v>
      </c>
      <c r="B1012" s="635">
        <v>168.41</v>
      </c>
      <c r="C1012" s="636">
        <v>1090</v>
      </c>
      <c r="D1012" s="636">
        <v>183566.9</v>
      </c>
      <c r="E1012" s="603"/>
    </row>
    <row r="1013" spans="1:5" x14ac:dyDescent="0.3">
      <c r="A1013" s="635" t="s">
        <v>724</v>
      </c>
      <c r="B1013" s="635">
        <v>166.43</v>
      </c>
      <c r="C1013" s="636">
        <v>1672</v>
      </c>
      <c r="D1013" s="636">
        <v>278270.96000000002</v>
      </c>
      <c r="E1013" s="603"/>
    </row>
    <row r="1014" spans="1:5" x14ac:dyDescent="0.3">
      <c r="A1014" s="635" t="s">
        <v>723</v>
      </c>
      <c r="B1014" s="635">
        <v>179.65</v>
      </c>
      <c r="C1014" s="636">
        <v>8059</v>
      </c>
      <c r="D1014" s="636">
        <v>1447799.35</v>
      </c>
      <c r="E1014" s="603"/>
    </row>
    <row r="1015" spans="1:5" x14ac:dyDescent="0.3">
      <c r="A1015" s="635" t="s">
        <v>722</v>
      </c>
      <c r="B1015" s="635">
        <v>49.32</v>
      </c>
      <c r="C1015" s="636">
        <v>18464</v>
      </c>
      <c r="D1015" s="636">
        <v>910644.48</v>
      </c>
      <c r="E1015" s="603"/>
    </row>
    <row r="1016" spans="1:5" x14ac:dyDescent="0.3">
      <c r="A1016" s="635" t="s">
        <v>721</v>
      </c>
      <c r="B1016" s="635">
        <v>50.85</v>
      </c>
      <c r="C1016" s="636">
        <v>46168</v>
      </c>
      <c r="D1016" s="636">
        <v>2347642.7999999998</v>
      </c>
      <c r="E1016" s="603"/>
    </row>
    <row r="1017" spans="1:5" x14ac:dyDescent="0.3">
      <c r="A1017" s="635" t="s">
        <v>720</v>
      </c>
      <c r="B1017" s="635">
        <v>50.53</v>
      </c>
      <c r="C1017" s="636">
        <v>18000</v>
      </c>
      <c r="D1017" s="636">
        <v>909540</v>
      </c>
      <c r="E1017" s="603"/>
    </row>
    <row r="1018" spans="1:5" x14ac:dyDescent="0.3">
      <c r="A1018" s="635" t="s">
        <v>719</v>
      </c>
      <c r="B1018" s="635">
        <v>49.95</v>
      </c>
      <c r="C1018" s="636">
        <v>13028</v>
      </c>
      <c r="D1018" s="636">
        <v>650748.60000000009</v>
      </c>
      <c r="E1018" s="603"/>
    </row>
    <row r="1019" spans="1:5" x14ac:dyDescent="0.3">
      <c r="A1019" s="635" t="s">
        <v>718</v>
      </c>
      <c r="B1019" s="635">
        <v>46.5</v>
      </c>
      <c r="C1019" s="636">
        <v>25500</v>
      </c>
      <c r="D1019" s="636">
        <v>1185750</v>
      </c>
      <c r="E1019" s="603"/>
    </row>
    <row r="1020" spans="1:5" x14ac:dyDescent="0.3">
      <c r="A1020" s="635" t="s">
        <v>717</v>
      </c>
      <c r="B1020" s="635">
        <v>43.53</v>
      </c>
      <c r="C1020" s="636">
        <v>19684</v>
      </c>
      <c r="D1020" s="636">
        <v>856844.52</v>
      </c>
      <c r="E1020" s="603"/>
    </row>
    <row r="1021" spans="1:5" x14ac:dyDescent="0.3">
      <c r="A1021" s="635" t="s">
        <v>716</v>
      </c>
      <c r="B1021" s="635">
        <v>44.28</v>
      </c>
      <c r="C1021" s="636">
        <v>21336</v>
      </c>
      <c r="D1021" s="636">
        <v>944758.08000000007</v>
      </c>
      <c r="E1021" s="603"/>
    </row>
    <row r="1022" spans="1:5" x14ac:dyDescent="0.3">
      <c r="A1022" s="635" t="s">
        <v>715</v>
      </c>
      <c r="B1022" s="635">
        <v>45.66</v>
      </c>
      <c r="C1022" s="636">
        <v>24192</v>
      </c>
      <c r="D1022" s="636">
        <v>1104606.72</v>
      </c>
      <c r="E1022" s="603"/>
    </row>
    <row r="1023" spans="1:5" x14ac:dyDescent="0.3">
      <c r="A1023" s="635" t="s">
        <v>714</v>
      </c>
      <c r="B1023" s="635">
        <v>45.75</v>
      </c>
      <c r="C1023" s="636">
        <v>9720</v>
      </c>
      <c r="D1023" s="636">
        <v>444690</v>
      </c>
      <c r="E1023" s="603"/>
    </row>
    <row r="1024" spans="1:5" x14ac:dyDescent="0.3">
      <c r="A1024" s="635" t="s">
        <v>713</v>
      </c>
      <c r="B1024" s="635">
        <v>43.6</v>
      </c>
      <c r="C1024" s="636">
        <v>28952</v>
      </c>
      <c r="D1024" s="636">
        <v>1262307.2</v>
      </c>
      <c r="E1024" s="603"/>
    </row>
    <row r="1025" spans="1:5" x14ac:dyDescent="0.3">
      <c r="A1025" s="635" t="s">
        <v>712</v>
      </c>
      <c r="B1025" s="635">
        <v>39.549999999999997</v>
      </c>
      <c r="C1025" s="636">
        <v>10978</v>
      </c>
      <c r="D1025" s="636">
        <v>434179.9</v>
      </c>
      <c r="E1025" s="603"/>
    </row>
    <row r="1026" spans="1:5" x14ac:dyDescent="0.3">
      <c r="A1026" s="635" t="s">
        <v>711</v>
      </c>
      <c r="B1026" s="635">
        <v>35.700000000000003</v>
      </c>
      <c r="C1026" s="636">
        <v>15101</v>
      </c>
      <c r="D1026" s="636">
        <v>539105.70000000007</v>
      </c>
      <c r="E1026" s="603"/>
    </row>
    <row r="1027" spans="1:5" x14ac:dyDescent="0.3">
      <c r="A1027" s="635" t="s">
        <v>710</v>
      </c>
      <c r="B1027" s="635">
        <v>34.700000000000003</v>
      </c>
      <c r="C1027" s="636">
        <v>23933</v>
      </c>
      <c r="D1027" s="636">
        <v>830475.10000000009</v>
      </c>
      <c r="E1027" s="603"/>
    </row>
    <row r="1028" spans="1:5" x14ac:dyDescent="0.3">
      <c r="A1028" s="635" t="s">
        <v>709</v>
      </c>
      <c r="B1028" s="635">
        <v>35.85</v>
      </c>
      <c r="C1028" s="636">
        <v>13362</v>
      </c>
      <c r="D1028" s="636">
        <v>479027.7</v>
      </c>
      <c r="E1028" s="603"/>
    </row>
    <row r="1029" spans="1:5" x14ac:dyDescent="0.3">
      <c r="A1029" s="635" t="s">
        <v>708</v>
      </c>
      <c r="B1029" s="635">
        <v>39.229999999999997</v>
      </c>
      <c r="C1029" s="636">
        <v>13158</v>
      </c>
      <c r="D1029" s="636">
        <v>516188.34</v>
      </c>
      <c r="E1029" s="603"/>
    </row>
    <row r="1030" spans="1:5" x14ac:dyDescent="0.3">
      <c r="A1030" s="635" t="s">
        <v>707</v>
      </c>
      <c r="B1030" s="635">
        <v>39.97</v>
      </c>
      <c r="C1030" s="636">
        <v>16387</v>
      </c>
      <c r="D1030" s="636">
        <v>654988.39</v>
      </c>
      <c r="E1030" s="603"/>
    </row>
    <row r="1031" spans="1:5" x14ac:dyDescent="0.3">
      <c r="A1031" s="635" t="s">
        <v>706</v>
      </c>
      <c r="B1031" s="635">
        <v>41.08</v>
      </c>
      <c r="C1031" s="636">
        <v>11361</v>
      </c>
      <c r="D1031" s="636">
        <v>466709.88</v>
      </c>
      <c r="E1031" s="603"/>
    </row>
    <row r="1032" spans="1:5" x14ac:dyDescent="0.3">
      <c r="A1032" s="635" t="s">
        <v>705</v>
      </c>
      <c r="B1032" s="635">
        <v>39.619999999999997</v>
      </c>
      <c r="C1032" s="636">
        <v>19337</v>
      </c>
      <c r="D1032" s="636">
        <v>766131.94</v>
      </c>
      <c r="E1032" s="603"/>
    </row>
    <row r="1033" spans="1:5" x14ac:dyDescent="0.3">
      <c r="A1033" s="635" t="s">
        <v>704</v>
      </c>
      <c r="B1033" s="635">
        <v>39.04</v>
      </c>
      <c r="C1033" s="636">
        <v>9008</v>
      </c>
      <c r="D1033" s="636">
        <v>351672.32000000001</v>
      </c>
      <c r="E1033" s="603"/>
    </row>
    <row r="1034" spans="1:5" x14ac:dyDescent="0.3">
      <c r="A1034" s="635" t="s">
        <v>703</v>
      </c>
      <c r="B1034" s="635">
        <v>39.53</v>
      </c>
      <c r="C1034" s="636">
        <v>9838</v>
      </c>
      <c r="D1034" s="636">
        <v>388896.14</v>
      </c>
      <c r="E1034" s="603"/>
    </row>
    <row r="1035" spans="1:5" x14ac:dyDescent="0.3">
      <c r="A1035" s="635" t="s">
        <v>702</v>
      </c>
      <c r="B1035" s="635">
        <v>38.46</v>
      </c>
      <c r="C1035" s="636">
        <v>14442</v>
      </c>
      <c r="D1035" s="636">
        <v>555439.32000000007</v>
      </c>
      <c r="E1035" s="603"/>
    </row>
    <row r="1036" spans="1:5" x14ac:dyDescent="0.3">
      <c r="A1036" s="635" t="s">
        <v>701</v>
      </c>
      <c r="B1036" s="635">
        <v>38.29</v>
      </c>
      <c r="C1036" s="636">
        <v>7780</v>
      </c>
      <c r="D1036" s="636">
        <v>297896.2</v>
      </c>
      <c r="E1036" s="603"/>
    </row>
    <row r="1037" spans="1:5" x14ac:dyDescent="0.3">
      <c r="A1037" s="635" t="s">
        <v>700</v>
      </c>
      <c r="B1037" s="635">
        <v>38.1</v>
      </c>
      <c r="C1037" s="636">
        <v>11505</v>
      </c>
      <c r="D1037" s="636">
        <v>438340.5</v>
      </c>
      <c r="E1037" s="603"/>
    </row>
    <row r="1038" spans="1:5" x14ac:dyDescent="0.3">
      <c r="A1038" s="635" t="s">
        <v>699</v>
      </c>
      <c r="B1038" s="635">
        <v>37.049999999999997</v>
      </c>
      <c r="C1038" s="636">
        <v>10744</v>
      </c>
      <c r="D1038" s="636">
        <v>398065.2</v>
      </c>
      <c r="E1038" s="603"/>
    </row>
    <row r="1039" spans="1:5" x14ac:dyDescent="0.3">
      <c r="A1039" s="635" t="s">
        <v>698</v>
      </c>
      <c r="B1039" s="635">
        <v>36.799999999999997</v>
      </c>
      <c r="C1039" s="636">
        <v>10846</v>
      </c>
      <c r="D1039" s="636">
        <v>399132.8</v>
      </c>
      <c r="E1039" s="603"/>
    </row>
    <row r="1040" spans="1:5" x14ac:dyDescent="0.3">
      <c r="A1040" s="635" t="s">
        <v>697</v>
      </c>
      <c r="B1040" s="635">
        <v>36.86</v>
      </c>
      <c r="C1040" s="636">
        <v>5675</v>
      </c>
      <c r="D1040" s="636">
        <v>209180.5</v>
      </c>
      <c r="E1040" s="603"/>
    </row>
    <row r="1041" spans="1:5" x14ac:dyDescent="0.3">
      <c r="A1041" s="635" t="s">
        <v>696</v>
      </c>
      <c r="B1041" s="635">
        <v>36.86</v>
      </c>
      <c r="C1041" s="636">
        <v>3865</v>
      </c>
      <c r="D1041" s="636">
        <v>142463.9</v>
      </c>
      <c r="E1041" s="603"/>
    </row>
    <row r="1042" spans="1:5" x14ac:dyDescent="0.3">
      <c r="A1042" s="635" t="s">
        <v>695</v>
      </c>
      <c r="B1042" s="635">
        <v>33.97</v>
      </c>
      <c r="C1042" s="636">
        <v>10965</v>
      </c>
      <c r="D1042" s="636">
        <v>372481.05</v>
      </c>
      <c r="E1042" s="603"/>
    </row>
    <row r="1043" spans="1:5" x14ac:dyDescent="0.3">
      <c r="A1043" s="635" t="s">
        <v>694</v>
      </c>
      <c r="B1043" s="635">
        <v>35.15</v>
      </c>
      <c r="C1043" s="636">
        <v>5149</v>
      </c>
      <c r="D1043" s="636">
        <v>180987.35</v>
      </c>
      <c r="E1043" s="603"/>
    </row>
    <row r="1044" spans="1:5" x14ac:dyDescent="0.3">
      <c r="A1044" s="635" t="s">
        <v>693</v>
      </c>
      <c r="B1044" s="635">
        <v>32.76</v>
      </c>
      <c r="C1044" s="636">
        <v>13528</v>
      </c>
      <c r="D1044" s="636">
        <v>443177.28</v>
      </c>
      <c r="E1044" s="603"/>
    </row>
    <row r="1045" spans="1:5" x14ac:dyDescent="0.3">
      <c r="A1045" s="635" t="s">
        <v>692</v>
      </c>
      <c r="B1045" s="635">
        <v>33.32</v>
      </c>
      <c r="C1045" s="636">
        <v>10153</v>
      </c>
      <c r="D1045" s="636">
        <v>338297.96</v>
      </c>
      <c r="E1045" s="603"/>
    </row>
    <row r="1046" spans="1:5" x14ac:dyDescent="0.3">
      <c r="A1046" s="635" t="s">
        <v>691</v>
      </c>
      <c r="B1046" s="635">
        <v>31.77</v>
      </c>
      <c r="C1046" s="636">
        <v>13365</v>
      </c>
      <c r="D1046" s="636">
        <v>424606.05</v>
      </c>
      <c r="E1046" s="603"/>
    </row>
    <row r="1047" spans="1:5" x14ac:dyDescent="0.3">
      <c r="A1047" s="635" t="s">
        <v>690</v>
      </c>
      <c r="B1047" s="635">
        <v>32.58</v>
      </c>
      <c r="C1047" s="636">
        <v>3545</v>
      </c>
      <c r="D1047" s="636">
        <v>115496.1</v>
      </c>
      <c r="E1047" s="603"/>
    </row>
    <row r="1048" spans="1:5" x14ac:dyDescent="0.3">
      <c r="A1048" s="635" t="s">
        <v>689</v>
      </c>
      <c r="B1048" s="635">
        <v>31.72</v>
      </c>
      <c r="C1048" s="636">
        <v>6537</v>
      </c>
      <c r="D1048" s="636">
        <v>207353.64</v>
      </c>
      <c r="E1048" s="603"/>
    </row>
    <row r="1049" spans="1:5" x14ac:dyDescent="0.3">
      <c r="A1049" s="635" t="s">
        <v>688</v>
      </c>
      <c r="B1049" s="635">
        <v>31.32</v>
      </c>
      <c r="C1049" s="636">
        <v>5316</v>
      </c>
      <c r="D1049" s="636">
        <v>166497.12</v>
      </c>
      <c r="E1049" s="603"/>
    </row>
    <row r="1050" spans="1:5" x14ac:dyDescent="0.3">
      <c r="A1050" s="635" t="s">
        <v>687</v>
      </c>
      <c r="B1050" s="635">
        <v>29.86</v>
      </c>
      <c r="C1050" s="636">
        <v>7038</v>
      </c>
      <c r="D1050" s="636">
        <v>210154.68</v>
      </c>
      <c r="E1050" s="603"/>
    </row>
    <row r="1051" spans="1:5" x14ac:dyDescent="0.3">
      <c r="A1051" s="635" t="s">
        <v>686</v>
      </c>
      <c r="B1051" s="635">
        <v>30.84</v>
      </c>
      <c r="C1051" s="636">
        <v>7609</v>
      </c>
      <c r="D1051" s="636">
        <v>234661.56</v>
      </c>
      <c r="E1051" s="603"/>
    </row>
    <row r="1052" spans="1:5" x14ac:dyDescent="0.3">
      <c r="A1052" s="635" t="s">
        <v>685</v>
      </c>
      <c r="B1052" s="635">
        <v>31.05</v>
      </c>
      <c r="C1052" s="636">
        <v>2543</v>
      </c>
      <c r="D1052" s="636">
        <v>78960.150000000009</v>
      </c>
      <c r="E1052" s="603"/>
    </row>
    <row r="1053" spans="1:5" x14ac:dyDescent="0.3">
      <c r="A1053" s="635" t="s">
        <v>684</v>
      </c>
      <c r="B1053" s="635">
        <v>30.29</v>
      </c>
      <c r="C1053" s="636">
        <v>4039</v>
      </c>
      <c r="D1053" s="636">
        <v>122341.31</v>
      </c>
      <c r="E1053" s="603"/>
    </row>
    <row r="1054" spans="1:5" x14ac:dyDescent="0.3">
      <c r="A1054" s="635" t="s">
        <v>683</v>
      </c>
      <c r="B1054" s="635">
        <v>30.36</v>
      </c>
      <c r="C1054" s="636">
        <v>7550</v>
      </c>
      <c r="D1054" s="636">
        <v>229218</v>
      </c>
      <c r="E1054" s="603"/>
    </row>
    <row r="1055" spans="1:5" x14ac:dyDescent="0.3">
      <c r="A1055" s="635" t="s">
        <v>682</v>
      </c>
      <c r="B1055" s="635">
        <v>29.6</v>
      </c>
      <c r="C1055" s="636">
        <v>6741</v>
      </c>
      <c r="D1055" s="636">
        <v>199533.6</v>
      </c>
      <c r="E1055" s="603"/>
    </row>
    <row r="1056" spans="1:5" x14ac:dyDescent="0.3">
      <c r="A1056" s="635" t="s">
        <v>681</v>
      </c>
      <c r="B1056" s="635">
        <v>28.14</v>
      </c>
      <c r="C1056" s="636">
        <v>16768</v>
      </c>
      <c r="D1056" s="636">
        <v>471851.52000000002</v>
      </c>
      <c r="E1056" s="603"/>
    </row>
    <row r="1057" spans="1:5" x14ac:dyDescent="0.3">
      <c r="A1057" s="635" t="s">
        <v>680</v>
      </c>
      <c r="B1057" s="635">
        <v>28.43</v>
      </c>
      <c r="C1057" s="636">
        <v>9291</v>
      </c>
      <c r="D1057" s="636">
        <v>264143.13</v>
      </c>
      <c r="E1057" s="603"/>
    </row>
    <row r="1058" spans="1:5" x14ac:dyDescent="0.3">
      <c r="A1058" s="635" t="s">
        <v>679</v>
      </c>
      <c r="B1058" s="635">
        <v>28.78</v>
      </c>
      <c r="C1058" s="636">
        <v>6901</v>
      </c>
      <c r="D1058" s="636">
        <v>198610.78</v>
      </c>
      <c r="E1058" s="603"/>
    </row>
    <row r="1059" spans="1:5" x14ac:dyDescent="0.3">
      <c r="A1059" s="635" t="s">
        <v>678</v>
      </c>
      <c r="B1059" s="635">
        <v>29.29</v>
      </c>
      <c r="C1059" s="636">
        <v>7682</v>
      </c>
      <c r="D1059" s="636">
        <v>225005.78</v>
      </c>
      <c r="E1059" s="603"/>
    </row>
    <row r="1060" spans="1:5" x14ac:dyDescent="0.3">
      <c r="A1060" s="635" t="s">
        <v>677</v>
      </c>
      <c r="B1060" s="635">
        <v>28.52</v>
      </c>
      <c r="C1060" s="636">
        <v>8787</v>
      </c>
      <c r="D1060" s="636">
        <v>250605.24</v>
      </c>
      <c r="E1060" s="603"/>
    </row>
    <row r="1061" spans="1:5" x14ac:dyDescent="0.3">
      <c r="A1061" s="635" t="s">
        <v>676</v>
      </c>
      <c r="B1061" s="635">
        <v>28.65</v>
      </c>
      <c r="C1061" s="636">
        <v>3630</v>
      </c>
      <c r="D1061" s="636">
        <v>103999.5</v>
      </c>
      <c r="E1061" s="603"/>
    </row>
    <row r="1062" spans="1:5" x14ac:dyDescent="0.3">
      <c r="A1062" s="635" t="s">
        <v>675</v>
      </c>
      <c r="B1062" s="635">
        <v>28.43</v>
      </c>
      <c r="C1062" s="636">
        <v>7439</v>
      </c>
      <c r="D1062" s="636">
        <v>211490.77</v>
      </c>
      <c r="E1062" s="603"/>
    </row>
    <row r="1063" spans="1:5" x14ac:dyDescent="0.3">
      <c r="A1063" s="635" t="s">
        <v>674</v>
      </c>
      <c r="B1063" s="635">
        <v>27.64</v>
      </c>
      <c r="C1063" s="636">
        <v>8620</v>
      </c>
      <c r="D1063" s="636">
        <v>238256.8</v>
      </c>
      <c r="E1063" s="603"/>
    </row>
    <row r="1064" spans="1:5" x14ac:dyDescent="0.3">
      <c r="A1064" s="635" t="s">
        <v>673</v>
      </c>
      <c r="B1064" s="635">
        <v>26.35</v>
      </c>
      <c r="C1064" s="636">
        <v>7918</v>
      </c>
      <c r="D1064" s="636">
        <v>208639.3</v>
      </c>
      <c r="E1064" s="603"/>
    </row>
    <row r="1065" spans="1:5" x14ac:dyDescent="0.3">
      <c r="A1065" s="635" t="s">
        <v>672</v>
      </c>
      <c r="B1065" s="635">
        <v>27.14</v>
      </c>
      <c r="C1065" s="636">
        <v>8227</v>
      </c>
      <c r="D1065" s="636">
        <v>223280.78</v>
      </c>
      <c r="E1065" s="603"/>
    </row>
    <row r="1066" spans="1:5" x14ac:dyDescent="0.3">
      <c r="A1066" s="635" t="s">
        <v>671</v>
      </c>
      <c r="B1066" s="635">
        <v>28.6</v>
      </c>
      <c r="C1066" s="636">
        <v>11241</v>
      </c>
      <c r="D1066" s="636">
        <v>321492.59999999998</v>
      </c>
      <c r="E1066" s="603"/>
    </row>
    <row r="1067" spans="1:5" x14ac:dyDescent="0.3">
      <c r="A1067" s="635" t="s">
        <v>670</v>
      </c>
      <c r="B1067" s="635">
        <v>31.07</v>
      </c>
      <c r="C1067" s="636">
        <v>21059</v>
      </c>
      <c r="D1067" s="636">
        <v>654303.13</v>
      </c>
      <c r="E1067" s="603"/>
    </row>
    <row r="1068" spans="1:5" x14ac:dyDescent="0.3">
      <c r="A1068" s="635" t="s">
        <v>669</v>
      </c>
      <c r="B1068" s="635">
        <v>30.98</v>
      </c>
      <c r="C1068" s="636">
        <v>9409</v>
      </c>
      <c r="D1068" s="636">
        <v>291490.82</v>
      </c>
      <c r="E1068" s="603"/>
    </row>
    <row r="1069" spans="1:5" x14ac:dyDescent="0.3">
      <c r="A1069" s="635" t="s">
        <v>668</v>
      </c>
      <c r="B1069" s="635">
        <v>30.7</v>
      </c>
      <c r="C1069" s="636">
        <v>14627</v>
      </c>
      <c r="D1069" s="636">
        <v>449048.9</v>
      </c>
      <c r="E1069" s="603"/>
    </row>
    <row r="1070" spans="1:5" x14ac:dyDescent="0.3">
      <c r="A1070" s="635" t="s">
        <v>667</v>
      </c>
      <c r="B1070" s="635">
        <v>31.51</v>
      </c>
      <c r="C1070" s="636">
        <v>11072</v>
      </c>
      <c r="D1070" s="636">
        <v>348878.72</v>
      </c>
      <c r="E1070" s="603"/>
    </row>
    <row r="1071" spans="1:5" x14ac:dyDescent="0.3">
      <c r="A1071" s="635" t="s">
        <v>666</v>
      </c>
      <c r="B1071" s="635">
        <v>31.45</v>
      </c>
      <c r="C1071" s="636">
        <v>10011</v>
      </c>
      <c r="D1071" s="636">
        <v>314845.95</v>
      </c>
      <c r="E1071" s="603"/>
    </row>
    <row r="1072" spans="1:5" x14ac:dyDescent="0.3">
      <c r="A1072" s="635" t="s">
        <v>665</v>
      </c>
      <c r="B1072" s="635">
        <v>30.29</v>
      </c>
      <c r="C1072" s="636">
        <v>9308</v>
      </c>
      <c r="D1072" s="636">
        <v>281939.32</v>
      </c>
      <c r="E1072" s="603"/>
    </row>
    <row r="1073" spans="1:5" x14ac:dyDescent="0.3">
      <c r="A1073" s="635" t="s">
        <v>664</v>
      </c>
      <c r="B1073" s="635">
        <v>29.64</v>
      </c>
      <c r="C1073" s="636">
        <v>9055</v>
      </c>
      <c r="D1073" s="636">
        <v>268390.2</v>
      </c>
      <c r="E1073" s="603"/>
    </row>
    <row r="1074" spans="1:5" x14ac:dyDescent="0.3">
      <c r="A1074" s="635" t="s">
        <v>663</v>
      </c>
      <c r="B1074" s="635">
        <v>30.03</v>
      </c>
      <c r="C1074" s="636">
        <v>5771</v>
      </c>
      <c r="D1074" s="636">
        <v>173303.13</v>
      </c>
      <c r="E1074" s="603"/>
    </row>
    <row r="1075" spans="1:5" x14ac:dyDescent="0.3">
      <c r="A1075" s="635" t="s">
        <v>662</v>
      </c>
      <c r="B1075" s="635">
        <v>30.2</v>
      </c>
      <c r="C1075" s="636">
        <v>7662</v>
      </c>
      <c r="D1075" s="636">
        <v>231392.4</v>
      </c>
      <c r="E1075" s="603"/>
    </row>
    <row r="1076" spans="1:5" x14ac:dyDescent="0.3">
      <c r="A1076" s="635" t="s">
        <v>661</v>
      </c>
      <c r="B1076" s="635">
        <v>29.6</v>
      </c>
      <c r="C1076" s="636">
        <v>16369</v>
      </c>
      <c r="D1076" s="636">
        <v>484522.4</v>
      </c>
      <c r="E1076" s="603"/>
    </row>
    <row r="1077" spans="1:5" x14ac:dyDescent="0.3">
      <c r="A1077" s="635" t="s">
        <v>660</v>
      </c>
      <c r="B1077" s="635">
        <v>31.66</v>
      </c>
      <c r="C1077" s="636">
        <v>30282</v>
      </c>
      <c r="D1077" s="636">
        <v>958728.12</v>
      </c>
      <c r="E1077" s="603"/>
    </row>
    <row r="1078" spans="1:5" x14ac:dyDescent="0.3">
      <c r="A1078" s="635" t="s">
        <v>659</v>
      </c>
      <c r="B1078" s="635">
        <v>33.51</v>
      </c>
      <c r="C1078" s="636">
        <v>40642</v>
      </c>
      <c r="D1078" s="636">
        <v>1361913.42</v>
      </c>
      <c r="E1078" s="603"/>
    </row>
    <row r="1079" spans="1:5" x14ac:dyDescent="0.3">
      <c r="A1079" s="635" t="s">
        <v>658</v>
      </c>
      <c r="B1079" s="635">
        <v>34.119999999999997</v>
      </c>
      <c r="C1079" s="636">
        <v>31315</v>
      </c>
      <c r="D1079" s="636">
        <v>1068467.8</v>
      </c>
      <c r="E1079" s="603"/>
    </row>
    <row r="1080" spans="1:5" x14ac:dyDescent="0.3">
      <c r="A1080" s="635" t="s">
        <v>657</v>
      </c>
      <c r="B1080" s="635">
        <v>33.71</v>
      </c>
      <c r="C1080" s="636">
        <v>8386</v>
      </c>
      <c r="D1080" s="636">
        <v>282692.06</v>
      </c>
      <c r="E1080" s="603"/>
    </row>
    <row r="1081" spans="1:5" x14ac:dyDescent="0.3">
      <c r="A1081" s="635" t="s">
        <v>656</v>
      </c>
      <c r="B1081" s="635">
        <v>34.229999999999997</v>
      </c>
      <c r="C1081" s="636">
        <v>24299</v>
      </c>
      <c r="D1081" s="636">
        <v>831754.7699999999</v>
      </c>
      <c r="E1081" s="603"/>
    </row>
    <row r="1082" spans="1:5" x14ac:dyDescent="0.3">
      <c r="A1082" s="635" t="s">
        <v>655</v>
      </c>
      <c r="B1082" s="635">
        <v>33.270000000000003</v>
      </c>
      <c r="C1082" s="636">
        <v>32674</v>
      </c>
      <c r="D1082" s="636">
        <v>1087063.98</v>
      </c>
      <c r="E1082" s="603"/>
    </row>
    <row r="1083" spans="1:5" x14ac:dyDescent="0.3">
      <c r="A1083" s="635" t="s">
        <v>654</v>
      </c>
      <c r="B1083" s="635">
        <v>31.97</v>
      </c>
      <c r="C1083" s="636">
        <v>17476</v>
      </c>
      <c r="D1083" s="636">
        <v>558707.72</v>
      </c>
      <c r="E1083" s="603"/>
    </row>
    <row r="1084" spans="1:5" x14ac:dyDescent="0.3">
      <c r="A1084" s="635" t="s">
        <v>653</v>
      </c>
      <c r="B1084" s="635">
        <v>31.88</v>
      </c>
      <c r="C1084" s="636">
        <v>15910</v>
      </c>
      <c r="D1084" s="636">
        <v>507210.8</v>
      </c>
      <c r="E1084" s="603"/>
    </row>
    <row r="1085" spans="1:5" x14ac:dyDescent="0.3">
      <c r="A1085" s="635" t="s">
        <v>652</v>
      </c>
      <c r="B1085" s="635">
        <v>33.89</v>
      </c>
      <c r="C1085" s="636">
        <v>31541</v>
      </c>
      <c r="D1085" s="636">
        <v>1068924.49</v>
      </c>
      <c r="E1085" s="603"/>
    </row>
    <row r="1086" spans="1:5" x14ac:dyDescent="0.3">
      <c r="A1086" s="635" t="s">
        <v>651</v>
      </c>
      <c r="B1086" s="635">
        <v>33.799999999999997</v>
      </c>
      <c r="C1086" s="636">
        <v>5022</v>
      </c>
      <c r="D1086" s="636">
        <v>169743.6</v>
      </c>
      <c r="E1086" s="603"/>
    </row>
    <row r="1087" spans="1:5" x14ac:dyDescent="0.3">
      <c r="A1087" s="635" t="s">
        <v>650</v>
      </c>
      <c r="B1087" s="635">
        <v>33.28</v>
      </c>
      <c r="C1087" s="636">
        <v>11122</v>
      </c>
      <c r="D1087" s="636">
        <v>370140.15999999997</v>
      </c>
      <c r="E1087" s="603"/>
    </row>
    <row r="1088" spans="1:5" x14ac:dyDescent="0.3">
      <c r="A1088" s="635" t="s">
        <v>649</v>
      </c>
      <c r="B1088" s="635">
        <v>33.64</v>
      </c>
      <c r="C1088" s="636">
        <v>26556</v>
      </c>
      <c r="D1088" s="636">
        <v>893343.84</v>
      </c>
      <c r="E1088" s="603"/>
    </row>
    <row r="1089" spans="1:5" x14ac:dyDescent="0.3">
      <c r="A1089" s="635" t="s">
        <v>648</v>
      </c>
      <c r="B1089" s="635">
        <v>35.78</v>
      </c>
      <c r="C1089" s="636">
        <v>63392</v>
      </c>
      <c r="D1089" s="636">
        <v>2268165.7599999998</v>
      </c>
      <c r="E1089" s="603"/>
    </row>
    <row r="1090" spans="1:5" x14ac:dyDescent="0.3">
      <c r="A1090" s="635" t="s">
        <v>647</v>
      </c>
      <c r="B1090" s="635">
        <v>36.31</v>
      </c>
      <c r="C1090" s="636">
        <v>22435</v>
      </c>
      <c r="D1090" s="636">
        <v>814614.85000000009</v>
      </c>
      <c r="E1090" s="603"/>
    </row>
    <row r="1091" spans="1:5" x14ac:dyDescent="0.3">
      <c r="A1091" s="635" t="s">
        <v>646</v>
      </c>
      <c r="B1091" s="635">
        <v>37.36</v>
      </c>
      <c r="C1091" s="636">
        <v>30635</v>
      </c>
      <c r="D1091" s="636">
        <v>1144523.6000000001</v>
      </c>
      <c r="E1091" s="603"/>
    </row>
    <row r="1092" spans="1:5" x14ac:dyDescent="0.3">
      <c r="A1092" s="635" t="s">
        <v>645</v>
      </c>
      <c r="B1092" s="635">
        <v>37</v>
      </c>
      <c r="C1092" s="636">
        <v>21938</v>
      </c>
      <c r="D1092" s="636">
        <v>811706</v>
      </c>
      <c r="E1092" s="603"/>
    </row>
    <row r="1093" spans="1:5" x14ac:dyDescent="0.3">
      <c r="A1093" s="635" t="s">
        <v>644</v>
      </c>
      <c r="B1093" s="635">
        <v>36.25</v>
      </c>
      <c r="C1093" s="636">
        <v>22082</v>
      </c>
      <c r="D1093" s="636">
        <v>800472.5</v>
      </c>
      <c r="E1093" s="603"/>
    </row>
    <row r="1094" spans="1:5" x14ac:dyDescent="0.3">
      <c r="A1094" s="635" t="s">
        <v>643</v>
      </c>
      <c r="B1094" s="635">
        <v>34.950000000000003</v>
      </c>
      <c r="C1094" s="636">
        <v>16820</v>
      </c>
      <c r="D1094" s="636">
        <v>587859</v>
      </c>
      <c r="E1094" s="603"/>
    </row>
    <row r="1095" spans="1:5" x14ac:dyDescent="0.3">
      <c r="A1095" s="635" t="s">
        <v>642</v>
      </c>
      <c r="B1095" s="635">
        <v>34.71</v>
      </c>
      <c r="C1095" s="636">
        <v>7100</v>
      </c>
      <c r="D1095" s="636">
        <v>246441</v>
      </c>
      <c r="E1095" s="603"/>
    </row>
    <row r="1096" spans="1:5" x14ac:dyDescent="0.3">
      <c r="A1096" s="635" t="s">
        <v>641</v>
      </c>
      <c r="B1096" s="635">
        <v>34.020000000000003</v>
      </c>
      <c r="C1096" s="636">
        <v>14171</v>
      </c>
      <c r="D1096" s="636">
        <v>482097.42</v>
      </c>
      <c r="E1096" s="603"/>
    </row>
    <row r="1097" spans="1:5" x14ac:dyDescent="0.3">
      <c r="A1097" s="635" t="s">
        <v>640</v>
      </c>
      <c r="B1097" s="635">
        <v>33.14</v>
      </c>
      <c r="C1097" s="636">
        <v>11301</v>
      </c>
      <c r="D1097" s="636">
        <v>374515.14</v>
      </c>
      <c r="E1097" s="603"/>
    </row>
    <row r="1098" spans="1:5" x14ac:dyDescent="0.3">
      <c r="A1098" s="635" t="s">
        <v>639</v>
      </c>
      <c r="B1098" s="635">
        <v>33.520000000000003</v>
      </c>
      <c r="C1098" s="636">
        <v>5067</v>
      </c>
      <c r="D1098" s="636">
        <v>169845.84</v>
      </c>
      <c r="E1098" s="603"/>
    </row>
    <row r="1099" spans="1:5" x14ac:dyDescent="0.3">
      <c r="A1099" s="635" t="s">
        <v>638</v>
      </c>
      <c r="B1099" s="635">
        <v>33.659999999999997</v>
      </c>
      <c r="C1099" s="636">
        <v>9650</v>
      </c>
      <c r="D1099" s="636">
        <v>324818.99999999988</v>
      </c>
      <c r="E1099" s="603"/>
    </row>
    <row r="1100" spans="1:5" x14ac:dyDescent="0.3">
      <c r="A1100" s="635" t="s">
        <v>637</v>
      </c>
      <c r="B1100" s="635">
        <v>32.82</v>
      </c>
      <c r="C1100" s="636">
        <v>2242</v>
      </c>
      <c r="D1100" s="636">
        <v>73582.44</v>
      </c>
      <c r="E1100" s="603"/>
    </row>
    <row r="1101" spans="1:5" x14ac:dyDescent="0.3">
      <c r="A1101" s="635" t="s">
        <v>636</v>
      </c>
      <c r="B1101" s="635">
        <v>32.68</v>
      </c>
      <c r="C1101" s="636">
        <v>4569</v>
      </c>
      <c r="D1101" s="636">
        <v>149314.92000000001</v>
      </c>
      <c r="E1101" s="603"/>
    </row>
    <row r="1102" spans="1:5" x14ac:dyDescent="0.3">
      <c r="A1102" s="635" t="s">
        <v>635</v>
      </c>
      <c r="B1102" s="635">
        <v>33.450000000000003</v>
      </c>
      <c r="C1102" s="636">
        <v>6089</v>
      </c>
      <c r="D1102" s="636">
        <v>203677.05</v>
      </c>
      <c r="E1102" s="603"/>
    </row>
    <row r="1103" spans="1:5" x14ac:dyDescent="0.3">
      <c r="A1103" s="635" t="s">
        <v>634</v>
      </c>
      <c r="B1103" s="635">
        <v>33.770000000000003</v>
      </c>
      <c r="C1103" s="636">
        <v>3485</v>
      </c>
      <c r="D1103" s="636">
        <v>117688.45</v>
      </c>
      <c r="E1103" s="603"/>
    </row>
    <row r="1104" spans="1:5" x14ac:dyDescent="0.3">
      <c r="A1104" s="635" t="s">
        <v>633</v>
      </c>
      <c r="B1104" s="635">
        <v>32.869999999999997</v>
      </c>
      <c r="C1104" s="636">
        <v>3543</v>
      </c>
      <c r="D1104" s="636">
        <v>116458.41</v>
      </c>
      <c r="E1104" s="603"/>
    </row>
    <row r="1105" spans="1:5" x14ac:dyDescent="0.3">
      <c r="A1105" s="635" t="s">
        <v>632</v>
      </c>
      <c r="B1105" s="635">
        <v>31.46</v>
      </c>
      <c r="C1105" s="636">
        <v>12479</v>
      </c>
      <c r="D1105" s="636">
        <v>392589.34</v>
      </c>
      <c r="E1105" s="603"/>
    </row>
    <row r="1106" spans="1:5" x14ac:dyDescent="0.3">
      <c r="A1106" s="635" t="s">
        <v>631</v>
      </c>
      <c r="B1106" s="635">
        <v>30.82</v>
      </c>
      <c r="C1106" s="636">
        <v>4596</v>
      </c>
      <c r="D1106" s="636">
        <v>141648.72</v>
      </c>
      <c r="E1106" s="603"/>
    </row>
    <row r="1107" spans="1:5" x14ac:dyDescent="0.3">
      <c r="A1107" s="635" t="s">
        <v>630</v>
      </c>
      <c r="B1107" s="635">
        <v>31.24</v>
      </c>
      <c r="C1107" s="636">
        <v>7745</v>
      </c>
      <c r="D1107" s="636">
        <v>241953.8</v>
      </c>
      <c r="E1107" s="603"/>
    </row>
    <row r="1108" spans="1:5" x14ac:dyDescent="0.3">
      <c r="A1108" s="635" t="s">
        <v>629</v>
      </c>
      <c r="B1108" s="635">
        <v>30.98</v>
      </c>
      <c r="C1108" s="636">
        <v>3518</v>
      </c>
      <c r="D1108" s="636">
        <v>108987.64</v>
      </c>
      <c r="E1108" s="603"/>
    </row>
    <row r="1109" spans="1:5" x14ac:dyDescent="0.3">
      <c r="A1109" s="635" t="s">
        <v>628</v>
      </c>
      <c r="B1109" s="635">
        <v>31.21</v>
      </c>
      <c r="C1109" s="636">
        <v>11628</v>
      </c>
      <c r="D1109" s="636">
        <v>362909.88</v>
      </c>
      <c r="E1109" s="603"/>
    </row>
    <row r="1110" spans="1:5" x14ac:dyDescent="0.3">
      <c r="A1110" s="635" t="s">
        <v>627</v>
      </c>
      <c r="B1110" s="635">
        <v>30.11</v>
      </c>
      <c r="C1110" s="636">
        <v>7144</v>
      </c>
      <c r="D1110" s="636">
        <v>215105.84</v>
      </c>
      <c r="E1110" s="603"/>
    </row>
    <row r="1111" spans="1:5" x14ac:dyDescent="0.3">
      <c r="A1111" s="635" t="s">
        <v>626</v>
      </c>
      <c r="B1111" s="635">
        <v>31.13</v>
      </c>
      <c r="C1111" s="636">
        <v>3558</v>
      </c>
      <c r="D1111" s="636">
        <v>110760.54</v>
      </c>
      <c r="E1111" s="603"/>
    </row>
    <row r="1112" spans="1:5" x14ac:dyDescent="0.3">
      <c r="A1112" s="635" t="s">
        <v>625</v>
      </c>
      <c r="B1112" s="635">
        <v>30.26</v>
      </c>
      <c r="C1112" s="636">
        <v>2802</v>
      </c>
      <c r="D1112" s="636">
        <v>84788.52</v>
      </c>
      <c r="E1112" s="603"/>
    </row>
    <row r="1113" spans="1:5" x14ac:dyDescent="0.3">
      <c r="A1113" s="635" t="s">
        <v>624</v>
      </c>
      <c r="B1113" s="635">
        <v>29.78</v>
      </c>
      <c r="C1113" s="636">
        <v>2904</v>
      </c>
      <c r="D1113" s="636">
        <v>86481.12000000001</v>
      </c>
      <c r="E1113" s="603"/>
    </row>
    <row r="1114" spans="1:5" x14ac:dyDescent="0.3">
      <c r="A1114" s="635" t="s">
        <v>623</v>
      </c>
      <c r="B1114" s="635">
        <v>29.75</v>
      </c>
      <c r="C1114" s="636">
        <v>2610</v>
      </c>
      <c r="D1114" s="636">
        <v>77647.5</v>
      </c>
      <c r="E1114" s="603"/>
    </row>
    <row r="1115" spans="1:5" x14ac:dyDescent="0.3">
      <c r="A1115" s="635" t="s">
        <v>622</v>
      </c>
      <c r="B1115" s="635">
        <v>28.53</v>
      </c>
      <c r="C1115" s="636">
        <v>8293</v>
      </c>
      <c r="D1115" s="636">
        <v>236599.29</v>
      </c>
      <c r="E1115" s="603"/>
    </row>
    <row r="1116" spans="1:5" x14ac:dyDescent="0.3">
      <c r="A1116" s="635" t="s">
        <v>621</v>
      </c>
      <c r="B1116" s="635">
        <v>28.25</v>
      </c>
      <c r="C1116" s="636">
        <v>1451</v>
      </c>
      <c r="D1116" s="636">
        <v>40990.75</v>
      </c>
      <c r="E1116" s="603"/>
    </row>
    <row r="1117" spans="1:5" x14ac:dyDescent="0.3">
      <c r="A1117" s="635" t="s">
        <v>620</v>
      </c>
      <c r="B1117" s="635">
        <v>29.08</v>
      </c>
      <c r="C1117" s="636">
        <v>5497</v>
      </c>
      <c r="D1117" s="636">
        <v>159852.76</v>
      </c>
      <c r="E1117" s="603"/>
    </row>
    <row r="1118" spans="1:5" x14ac:dyDescent="0.3">
      <c r="A1118" s="635" t="s">
        <v>619</v>
      </c>
      <c r="B1118" s="635">
        <v>29.15</v>
      </c>
      <c r="C1118" s="636">
        <v>6643</v>
      </c>
      <c r="D1118" s="636">
        <v>193643.45</v>
      </c>
      <c r="E1118" s="603"/>
    </row>
    <row r="1119" spans="1:5" x14ac:dyDescent="0.3">
      <c r="A1119" s="635" t="s">
        <v>618</v>
      </c>
      <c r="B1119" s="635">
        <v>27.69</v>
      </c>
      <c r="C1119" s="636">
        <v>1053</v>
      </c>
      <c r="D1119" s="636">
        <v>29157.57</v>
      </c>
      <c r="E1119" s="603"/>
    </row>
    <row r="1120" spans="1:5" x14ac:dyDescent="0.3">
      <c r="A1120" s="635" t="s">
        <v>617</v>
      </c>
      <c r="B1120" s="635">
        <v>28.01</v>
      </c>
      <c r="C1120" s="636">
        <v>1676</v>
      </c>
      <c r="D1120" s="636">
        <v>46944.76</v>
      </c>
      <c r="E1120" s="603"/>
    </row>
    <row r="1121" spans="1:5" x14ac:dyDescent="0.3">
      <c r="A1121" s="635" t="s">
        <v>616</v>
      </c>
      <c r="B1121" s="635">
        <v>28.81</v>
      </c>
      <c r="C1121" s="636">
        <v>6542</v>
      </c>
      <c r="D1121" s="636">
        <v>188475.02</v>
      </c>
      <c r="E1121" s="603"/>
    </row>
    <row r="1122" spans="1:5" x14ac:dyDescent="0.3">
      <c r="A1122" s="635" t="s">
        <v>615</v>
      </c>
      <c r="B1122" s="635">
        <v>30.26</v>
      </c>
      <c r="C1122" s="636">
        <v>6777</v>
      </c>
      <c r="D1122" s="636">
        <v>205072.02</v>
      </c>
      <c r="E1122" s="603"/>
    </row>
    <row r="1123" spans="1:5" x14ac:dyDescent="0.3">
      <c r="A1123" s="635" t="s">
        <v>614</v>
      </c>
      <c r="B1123" s="635">
        <v>29.97</v>
      </c>
      <c r="C1123" s="636">
        <v>5444</v>
      </c>
      <c r="D1123" s="636">
        <v>163156.68</v>
      </c>
      <c r="E1123" s="603"/>
    </row>
    <row r="1124" spans="1:5" x14ac:dyDescent="0.3">
      <c r="A1124" s="635" t="s">
        <v>613</v>
      </c>
      <c r="B1124" s="635">
        <v>29.56</v>
      </c>
      <c r="C1124" s="636">
        <v>4974</v>
      </c>
      <c r="D1124" s="636">
        <v>147031.44</v>
      </c>
      <c r="E1124" s="603"/>
    </row>
    <row r="1125" spans="1:5" x14ac:dyDescent="0.3">
      <c r="A1125" s="635" t="s">
        <v>612</v>
      </c>
      <c r="B1125" s="635">
        <v>29.48</v>
      </c>
      <c r="C1125" s="636">
        <v>4587</v>
      </c>
      <c r="D1125" s="636">
        <v>135224.76</v>
      </c>
      <c r="E1125" s="603"/>
    </row>
    <row r="1126" spans="1:5" x14ac:dyDescent="0.3">
      <c r="A1126" s="635" t="s">
        <v>611</v>
      </c>
      <c r="B1126" s="635">
        <v>29.24</v>
      </c>
      <c r="C1126" s="636">
        <v>4832</v>
      </c>
      <c r="D1126" s="636">
        <v>141287.67999999999</v>
      </c>
      <c r="E1126" s="603"/>
    </row>
    <row r="1127" spans="1:5" x14ac:dyDescent="0.3">
      <c r="A1127" s="635" t="s">
        <v>610</v>
      </c>
      <c r="B1127" s="635">
        <v>29.82</v>
      </c>
      <c r="C1127" s="636">
        <v>11357</v>
      </c>
      <c r="D1127" s="636">
        <v>338665.74</v>
      </c>
      <c r="E1127" s="603"/>
    </row>
    <row r="1128" spans="1:5" x14ac:dyDescent="0.3">
      <c r="A1128" s="635" t="s">
        <v>609</v>
      </c>
      <c r="B1128" s="635">
        <v>28.65</v>
      </c>
      <c r="C1128" s="636">
        <v>4986</v>
      </c>
      <c r="D1128" s="636">
        <v>142848.9</v>
      </c>
      <c r="E1128" s="603"/>
    </row>
    <row r="1129" spans="1:5" x14ac:dyDescent="0.3">
      <c r="A1129" s="635" t="s">
        <v>608</v>
      </c>
      <c r="B1129" s="635">
        <v>29.04</v>
      </c>
      <c r="C1129" s="636">
        <v>7612</v>
      </c>
      <c r="D1129" s="636">
        <v>221052.48</v>
      </c>
      <c r="E1129" s="603"/>
    </row>
    <row r="1130" spans="1:5" x14ac:dyDescent="0.3">
      <c r="A1130" s="635" t="s">
        <v>607</v>
      </c>
      <c r="B1130" s="635">
        <v>29.94</v>
      </c>
      <c r="C1130" s="636">
        <v>1870</v>
      </c>
      <c r="D1130" s="636">
        <v>55987.8</v>
      </c>
      <c r="E1130" s="603"/>
    </row>
    <row r="1131" spans="1:5" x14ac:dyDescent="0.3">
      <c r="A1131" s="635" t="s">
        <v>606</v>
      </c>
      <c r="B1131" s="635">
        <v>29.81</v>
      </c>
      <c r="C1131" s="636">
        <v>6048</v>
      </c>
      <c r="D1131" s="636">
        <v>180290.88</v>
      </c>
      <c r="E1131" s="603"/>
    </row>
    <row r="1132" spans="1:5" x14ac:dyDescent="0.3">
      <c r="A1132" s="635" t="s">
        <v>605</v>
      </c>
      <c r="B1132" s="635">
        <v>29.7</v>
      </c>
      <c r="C1132" s="636">
        <v>2680</v>
      </c>
      <c r="D1132" s="636">
        <v>79596</v>
      </c>
      <c r="E1132" s="603"/>
    </row>
    <row r="1133" spans="1:5" x14ac:dyDescent="0.3">
      <c r="A1133" s="635" t="s">
        <v>604</v>
      </c>
      <c r="B1133" s="635">
        <v>29.32</v>
      </c>
      <c r="C1133" s="636">
        <v>3340</v>
      </c>
      <c r="D1133" s="636">
        <v>97928.8</v>
      </c>
      <c r="E1133" s="603"/>
    </row>
    <row r="1134" spans="1:5" x14ac:dyDescent="0.3">
      <c r="A1134" s="635" t="s">
        <v>603</v>
      </c>
      <c r="B1134" s="635">
        <v>28.97</v>
      </c>
      <c r="C1134" s="636">
        <v>445</v>
      </c>
      <c r="D1134" s="636">
        <v>12891.65</v>
      </c>
      <c r="E1134" s="603"/>
    </row>
    <row r="1135" spans="1:5" x14ac:dyDescent="0.3">
      <c r="A1135" s="635" t="s">
        <v>602</v>
      </c>
      <c r="B1135" s="635">
        <v>30.14</v>
      </c>
      <c r="C1135" s="636">
        <v>10179</v>
      </c>
      <c r="D1135" s="636">
        <v>306795.06</v>
      </c>
      <c r="E1135" s="603"/>
    </row>
    <row r="1136" spans="1:5" x14ac:dyDescent="0.3">
      <c r="A1136" s="635" t="s">
        <v>601</v>
      </c>
      <c r="B1136" s="635">
        <v>30.82</v>
      </c>
      <c r="C1136" s="636">
        <v>8807</v>
      </c>
      <c r="D1136" s="636">
        <v>271431.74</v>
      </c>
      <c r="E1136" s="603"/>
    </row>
    <row r="1137" spans="1:5" x14ac:dyDescent="0.3">
      <c r="A1137" s="635" t="s">
        <v>600</v>
      </c>
      <c r="B1137" s="635">
        <v>30.77</v>
      </c>
      <c r="C1137" s="636">
        <v>8135</v>
      </c>
      <c r="D1137" s="636">
        <v>250313.95</v>
      </c>
      <c r="E1137" s="603"/>
    </row>
    <row r="1138" spans="1:5" x14ac:dyDescent="0.3">
      <c r="A1138" s="635" t="s">
        <v>599</v>
      </c>
      <c r="B1138" s="635">
        <v>31</v>
      </c>
      <c r="C1138" s="636">
        <v>10636</v>
      </c>
      <c r="D1138" s="636">
        <v>329716</v>
      </c>
      <c r="E1138" s="603"/>
    </row>
    <row r="1139" spans="1:5" x14ac:dyDescent="0.3">
      <c r="A1139" s="635" t="s">
        <v>598</v>
      </c>
      <c r="B1139" s="635">
        <v>31.2</v>
      </c>
      <c r="C1139" s="636">
        <v>8721</v>
      </c>
      <c r="D1139" s="636">
        <v>272095.2</v>
      </c>
      <c r="E1139" s="603"/>
    </row>
    <row r="1140" spans="1:5" x14ac:dyDescent="0.3">
      <c r="A1140" s="635" t="s">
        <v>597</v>
      </c>
      <c r="B1140" s="635">
        <v>31.03</v>
      </c>
      <c r="C1140" s="636">
        <v>4729</v>
      </c>
      <c r="D1140" s="636">
        <v>146740.87</v>
      </c>
      <c r="E1140" s="603"/>
    </row>
    <row r="1141" spans="1:5" x14ac:dyDescent="0.3">
      <c r="A1141" s="635" t="s">
        <v>596</v>
      </c>
      <c r="B1141" s="635">
        <v>32.35</v>
      </c>
      <c r="C1141" s="636">
        <v>20169</v>
      </c>
      <c r="D1141" s="636">
        <v>652467.15</v>
      </c>
      <c r="E1141" s="603"/>
    </row>
    <row r="1142" spans="1:5" x14ac:dyDescent="0.3">
      <c r="A1142" s="635" t="s">
        <v>595</v>
      </c>
      <c r="B1142" s="635">
        <v>30.56</v>
      </c>
      <c r="C1142" s="636">
        <v>14658</v>
      </c>
      <c r="D1142" s="636">
        <v>447948.48</v>
      </c>
      <c r="E1142" s="603"/>
    </row>
    <row r="1143" spans="1:5" x14ac:dyDescent="0.3">
      <c r="A1143" s="635" t="s">
        <v>594</v>
      </c>
      <c r="B1143" s="635">
        <v>29.41</v>
      </c>
      <c r="C1143" s="636">
        <v>9350</v>
      </c>
      <c r="D1143" s="636">
        <v>274983.5</v>
      </c>
      <c r="E1143" s="603"/>
    </row>
    <row r="1144" spans="1:5" x14ac:dyDescent="0.3">
      <c r="A1144" s="635" t="s">
        <v>593</v>
      </c>
      <c r="B1144" s="635">
        <v>29.25</v>
      </c>
      <c r="C1144" s="636">
        <v>7485</v>
      </c>
      <c r="D1144" s="636">
        <v>218936.25</v>
      </c>
      <c r="E1144" s="603"/>
    </row>
    <row r="1145" spans="1:5" x14ac:dyDescent="0.3">
      <c r="A1145" s="635" t="s">
        <v>592</v>
      </c>
      <c r="B1145" s="635">
        <v>28.39</v>
      </c>
      <c r="C1145" s="636">
        <v>4077</v>
      </c>
      <c r="D1145" s="636">
        <v>115746.03</v>
      </c>
      <c r="E1145" s="603"/>
    </row>
    <row r="1146" spans="1:5" x14ac:dyDescent="0.3">
      <c r="A1146" s="635" t="s">
        <v>591</v>
      </c>
      <c r="B1146" s="635">
        <v>29.08</v>
      </c>
      <c r="C1146" s="636">
        <v>7316</v>
      </c>
      <c r="D1146" s="636">
        <v>212749.28</v>
      </c>
      <c r="E1146" s="603"/>
    </row>
    <row r="1147" spans="1:5" x14ac:dyDescent="0.3">
      <c r="A1147" s="635" t="s">
        <v>590</v>
      </c>
      <c r="B1147" s="635">
        <v>28.5</v>
      </c>
      <c r="C1147" s="636">
        <v>2090</v>
      </c>
      <c r="D1147" s="636">
        <v>59565</v>
      </c>
      <c r="E1147" s="603"/>
    </row>
    <row r="1148" spans="1:5" x14ac:dyDescent="0.3">
      <c r="A1148" s="635" t="s">
        <v>589</v>
      </c>
      <c r="B1148" s="635">
        <v>28.5</v>
      </c>
      <c r="C1148" s="636">
        <v>614</v>
      </c>
      <c r="D1148" s="636">
        <v>17499</v>
      </c>
      <c r="E1148" s="603"/>
    </row>
    <row r="1149" spans="1:5" x14ac:dyDescent="0.3">
      <c r="A1149" s="635" t="s">
        <v>588</v>
      </c>
      <c r="B1149" s="635">
        <v>28.06</v>
      </c>
      <c r="C1149" s="636">
        <v>3400</v>
      </c>
      <c r="D1149" s="636">
        <v>95404</v>
      </c>
      <c r="E1149" s="603"/>
    </row>
    <row r="1150" spans="1:5" x14ac:dyDescent="0.3">
      <c r="A1150" s="635" t="s">
        <v>587</v>
      </c>
      <c r="B1150" s="635">
        <v>29.16</v>
      </c>
      <c r="C1150" s="636">
        <v>9738</v>
      </c>
      <c r="D1150" s="636">
        <v>283960.08</v>
      </c>
      <c r="E1150" s="603"/>
    </row>
    <row r="1151" spans="1:5" x14ac:dyDescent="0.3">
      <c r="A1151" s="635" t="s">
        <v>586</v>
      </c>
      <c r="B1151" s="635">
        <v>30.07</v>
      </c>
      <c r="C1151" s="636">
        <v>13423</v>
      </c>
      <c r="D1151" s="636">
        <v>403629.61</v>
      </c>
      <c r="E1151" s="603"/>
    </row>
    <row r="1152" spans="1:5" x14ac:dyDescent="0.3">
      <c r="A1152" s="635" t="s">
        <v>585</v>
      </c>
      <c r="B1152" s="635">
        <v>30.03</v>
      </c>
      <c r="C1152" s="636">
        <v>1000</v>
      </c>
      <c r="D1152" s="636">
        <v>30030</v>
      </c>
      <c r="E1152" s="603"/>
    </row>
    <row r="1153" spans="1:5" x14ac:dyDescent="0.3">
      <c r="A1153" s="635" t="s">
        <v>584</v>
      </c>
      <c r="B1153" s="635">
        <v>32.03</v>
      </c>
      <c r="C1153" s="636">
        <v>4307</v>
      </c>
      <c r="D1153" s="636">
        <v>137953.21</v>
      </c>
      <c r="E1153" s="603"/>
    </row>
    <row r="1154" spans="1:5" x14ac:dyDescent="0.3">
      <c r="A1154" s="635" t="s">
        <v>583</v>
      </c>
      <c r="B1154" s="635">
        <v>31.27</v>
      </c>
      <c r="C1154" s="636">
        <v>7692</v>
      </c>
      <c r="D1154" s="636">
        <v>240528.84</v>
      </c>
      <c r="E1154" s="603"/>
    </row>
    <row r="1155" spans="1:5" x14ac:dyDescent="0.3">
      <c r="A1155" s="635" t="s">
        <v>582</v>
      </c>
      <c r="B1155" s="635">
        <v>32.11</v>
      </c>
      <c r="C1155" s="636">
        <v>7870</v>
      </c>
      <c r="D1155" s="636">
        <v>252705.7</v>
      </c>
      <c r="E1155" s="603"/>
    </row>
    <row r="1156" spans="1:5" x14ac:dyDescent="0.3">
      <c r="A1156" s="635" t="s">
        <v>520</v>
      </c>
      <c r="B1156" s="635">
        <v>32.479999999999997</v>
      </c>
      <c r="C1156" s="636">
        <v>11335</v>
      </c>
      <c r="D1156" s="636">
        <v>368160.8</v>
      </c>
      <c r="E1156" s="603"/>
    </row>
    <row r="1157" spans="1:5" x14ac:dyDescent="0.3">
      <c r="A1157" s="635" t="s">
        <v>2880</v>
      </c>
      <c r="B1157" s="635">
        <v>32.85</v>
      </c>
      <c r="C1157" s="636">
        <v>9525</v>
      </c>
      <c r="D1157" s="636">
        <v>312896.25</v>
      </c>
      <c r="E1157" s="603"/>
    </row>
    <row r="1158" spans="1:5" x14ac:dyDescent="0.3">
      <c r="A1158" s="635" t="s">
        <v>2879</v>
      </c>
      <c r="B1158" s="635">
        <v>32.130000000000003</v>
      </c>
      <c r="C1158" s="636">
        <v>4855</v>
      </c>
      <c r="D1158" s="636">
        <v>155991.15</v>
      </c>
      <c r="E1158" s="603"/>
    </row>
    <row r="1159" spans="1:5" x14ac:dyDescent="0.3">
      <c r="A1159" s="635" t="s">
        <v>2878</v>
      </c>
      <c r="B1159" s="635">
        <v>32.68</v>
      </c>
      <c r="C1159" s="636">
        <v>10701</v>
      </c>
      <c r="D1159" s="636">
        <v>349708.68</v>
      </c>
      <c r="E1159" s="603"/>
    </row>
    <row r="1160" spans="1:5" x14ac:dyDescent="0.3">
      <c r="A1160" s="635" t="s">
        <v>2877</v>
      </c>
      <c r="B1160" s="635">
        <v>32.1</v>
      </c>
      <c r="C1160" s="636">
        <v>4654</v>
      </c>
      <c r="D1160" s="636">
        <v>149393.4</v>
      </c>
      <c r="E1160" s="603"/>
    </row>
    <row r="1161" spans="1:5" x14ac:dyDescent="0.3">
      <c r="A1161" s="635" t="s">
        <v>2876</v>
      </c>
      <c r="B1161" s="635">
        <v>30.77</v>
      </c>
      <c r="C1161" s="636">
        <v>1500</v>
      </c>
      <c r="D1161" s="636">
        <v>46155</v>
      </c>
      <c r="E1161" s="603"/>
    </row>
    <row r="1162" spans="1:5" x14ac:dyDescent="0.3">
      <c r="A1162" s="635" t="s">
        <v>2875</v>
      </c>
      <c r="B1162" s="635">
        <v>30.05</v>
      </c>
      <c r="C1162" s="636">
        <v>556</v>
      </c>
      <c r="D1162" s="636">
        <v>16707.8</v>
      </c>
      <c r="E1162" s="603"/>
    </row>
    <row r="1163" spans="1:5" x14ac:dyDescent="0.3">
      <c r="A1163" s="635" t="s">
        <v>2874</v>
      </c>
      <c r="B1163" s="635">
        <v>31.84</v>
      </c>
      <c r="C1163" s="636">
        <v>1023</v>
      </c>
      <c r="D1163" s="636">
        <v>32572.32</v>
      </c>
      <c r="E1163" s="603"/>
    </row>
    <row r="1164" spans="1:5" x14ac:dyDescent="0.3">
      <c r="A1164" s="635" t="s">
        <v>2873</v>
      </c>
      <c r="B1164" s="635">
        <v>31.12</v>
      </c>
      <c r="C1164" s="636">
        <v>2356</v>
      </c>
      <c r="D1164" s="636">
        <v>73318.720000000001</v>
      </c>
      <c r="E1164" s="603"/>
    </row>
    <row r="1165" spans="1:5" x14ac:dyDescent="0.3">
      <c r="A1165" s="635" t="s">
        <v>2872</v>
      </c>
      <c r="B1165" s="635">
        <v>31.66</v>
      </c>
      <c r="C1165" s="636">
        <v>665</v>
      </c>
      <c r="D1165" s="636">
        <v>21053.9</v>
      </c>
      <c r="E1165" s="603"/>
    </row>
    <row r="1166" spans="1:5" x14ac:dyDescent="0.3">
      <c r="A1166" s="635" t="s">
        <v>2871</v>
      </c>
      <c r="B1166" s="635">
        <v>30.31</v>
      </c>
      <c r="C1166" s="636">
        <v>447</v>
      </c>
      <c r="D1166" s="636">
        <v>13548.57</v>
      </c>
      <c r="E1166" s="603"/>
    </row>
    <row r="1167" spans="1:5" x14ac:dyDescent="0.3">
      <c r="A1167" s="635" t="s">
        <v>2870</v>
      </c>
      <c r="B1167" s="635">
        <v>30.92</v>
      </c>
      <c r="C1167" s="636">
        <v>836</v>
      </c>
      <c r="D1167" s="636">
        <v>25849.119999999999</v>
      </c>
      <c r="E1167" s="603"/>
    </row>
    <row r="1168" spans="1:5" x14ac:dyDescent="0.3">
      <c r="A1168" s="635" t="s">
        <v>2869</v>
      </c>
      <c r="B1168" s="635">
        <v>31.86</v>
      </c>
      <c r="C1168" s="636">
        <v>2404</v>
      </c>
      <c r="D1168" s="636">
        <v>76591.44</v>
      </c>
      <c r="E1168" s="603"/>
    </row>
    <row r="1169" spans="1:5" x14ac:dyDescent="0.3">
      <c r="A1169" s="635" t="s">
        <v>2868</v>
      </c>
      <c r="B1169" s="635">
        <v>30.91</v>
      </c>
      <c r="C1169" s="636">
        <v>135</v>
      </c>
      <c r="D1169" s="636">
        <v>4172.8500000000004</v>
      </c>
      <c r="E1169" s="603"/>
    </row>
    <row r="1170" spans="1:5" x14ac:dyDescent="0.3">
      <c r="A1170" s="635" t="s">
        <v>2867</v>
      </c>
      <c r="B1170" s="635">
        <v>32.26</v>
      </c>
      <c r="C1170" s="636">
        <v>6068</v>
      </c>
      <c r="D1170" s="636">
        <v>195753.68</v>
      </c>
      <c r="E1170" s="603"/>
    </row>
    <row r="1171" spans="1:5" x14ac:dyDescent="0.3">
      <c r="A1171" s="635" t="s">
        <v>2866</v>
      </c>
      <c r="B1171" s="635">
        <v>32</v>
      </c>
      <c r="C1171" s="636">
        <v>3256</v>
      </c>
      <c r="D1171" s="636">
        <v>104192</v>
      </c>
      <c r="E1171" s="603"/>
    </row>
    <row r="1172" spans="1:5" x14ac:dyDescent="0.3">
      <c r="A1172" s="635" t="s">
        <v>2865</v>
      </c>
      <c r="B1172" s="635">
        <v>31.79</v>
      </c>
      <c r="C1172" s="636">
        <v>925</v>
      </c>
      <c r="D1172" s="636">
        <v>29405.75</v>
      </c>
      <c r="E1172" s="603"/>
    </row>
    <row r="1173" spans="1:5" x14ac:dyDescent="0.3">
      <c r="A1173" s="635" t="s">
        <v>521</v>
      </c>
      <c r="B1173" s="635">
        <v>32.26</v>
      </c>
      <c r="C1173" s="636">
        <v>3500</v>
      </c>
      <c r="D1173" s="636">
        <v>112910</v>
      </c>
      <c r="E1173" s="603"/>
    </row>
    <row r="1174" spans="1:5" x14ac:dyDescent="0.3">
      <c r="A1174" s="635" t="s">
        <v>2864</v>
      </c>
      <c r="B1174" s="635">
        <v>32.08</v>
      </c>
      <c r="C1174" s="636">
        <v>3710</v>
      </c>
      <c r="D1174" s="636">
        <v>119016.8</v>
      </c>
      <c r="E1174" s="603"/>
    </row>
    <row r="1175" spans="1:5" x14ac:dyDescent="0.3">
      <c r="A1175" s="635" t="s">
        <v>2863</v>
      </c>
      <c r="B1175" s="635">
        <v>32.159999999999997</v>
      </c>
      <c r="C1175" s="636">
        <v>350</v>
      </c>
      <c r="D1175" s="636">
        <v>11256</v>
      </c>
      <c r="E1175" s="603"/>
    </row>
    <row r="1176" spans="1:5" x14ac:dyDescent="0.3">
      <c r="A1176" s="635" t="s">
        <v>2862</v>
      </c>
      <c r="B1176" s="635">
        <v>32.29</v>
      </c>
      <c r="C1176" s="636">
        <v>500</v>
      </c>
      <c r="D1176" s="636">
        <v>16145</v>
      </c>
      <c r="E1176" s="603"/>
    </row>
    <row r="1177" spans="1:5" x14ac:dyDescent="0.3">
      <c r="A1177" s="635" t="s">
        <v>2861</v>
      </c>
      <c r="B1177" s="635">
        <v>31.9</v>
      </c>
      <c r="C1177" s="636">
        <v>2150</v>
      </c>
      <c r="D1177" s="636">
        <v>68585</v>
      </c>
      <c r="E1177" s="603"/>
    </row>
    <row r="1178" spans="1:5" x14ac:dyDescent="0.3">
      <c r="A1178" s="635" t="s">
        <v>2860</v>
      </c>
      <c r="B1178" s="635">
        <v>31.69</v>
      </c>
      <c r="C1178" s="636">
        <v>1458</v>
      </c>
      <c r="D1178" s="636">
        <v>46204.02</v>
      </c>
      <c r="E1178" s="603"/>
    </row>
    <row r="1179" spans="1:5" x14ac:dyDescent="0.3">
      <c r="A1179" s="635" t="s">
        <v>2859</v>
      </c>
      <c r="B1179" s="635">
        <v>31.25</v>
      </c>
      <c r="C1179" s="636">
        <v>2190</v>
      </c>
      <c r="D1179" s="636">
        <v>68437.5</v>
      </c>
      <c r="E1179" s="603"/>
    </row>
    <row r="1180" spans="1:5" x14ac:dyDescent="0.3">
      <c r="A1180" s="635" t="s">
        <v>2858</v>
      </c>
      <c r="B1180" s="635">
        <v>31.31</v>
      </c>
      <c r="C1180" s="636">
        <v>520</v>
      </c>
      <c r="D1180" s="636">
        <v>16281.2</v>
      </c>
      <c r="E1180" s="603"/>
    </row>
    <row r="1181" spans="1:5" x14ac:dyDescent="0.3">
      <c r="A1181" s="635" t="s">
        <v>2857</v>
      </c>
      <c r="B1181" s="635">
        <v>31.15</v>
      </c>
      <c r="C1181" s="636">
        <v>2400</v>
      </c>
      <c r="D1181" s="636">
        <v>74760</v>
      </c>
      <c r="E1181" s="603"/>
    </row>
    <row r="1182" spans="1:5" x14ac:dyDescent="0.3">
      <c r="A1182" s="635" t="s">
        <v>2856</v>
      </c>
      <c r="B1182" s="635">
        <v>32.32</v>
      </c>
      <c r="C1182" s="636">
        <v>245</v>
      </c>
      <c r="D1182" s="636">
        <v>7918.4</v>
      </c>
      <c r="E1182" s="603"/>
    </row>
    <row r="1183" spans="1:5" x14ac:dyDescent="0.3">
      <c r="A1183" s="635" t="s">
        <v>2855</v>
      </c>
      <c r="B1183" s="635">
        <v>32.229999999999997</v>
      </c>
      <c r="C1183" s="636">
        <v>6988</v>
      </c>
      <c r="D1183" s="636">
        <v>225223.24</v>
      </c>
      <c r="E1183" s="603"/>
    </row>
    <row r="1184" spans="1:5" x14ac:dyDescent="0.3">
      <c r="A1184" s="635" t="s">
        <v>2854</v>
      </c>
      <c r="B1184" s="635">
        <v>32.409999999999997</v>
      </c>
      <c r="C1184" s="636">
        <v>2100</v>
      </c>
      <c r="D1184" s="636">
        <v>68061</v>
      </c>
      <c r="E1184" s="603"/>
    </row>
    <row r="1185" spans="1:5" x14ac:dyDescent="0.3">
      <c r="A1185" s="635" t="s">
        <v>2853</v>
      </c>
      <c r="B1185" s="635">
        <v>32.01</v>
      </c>
      <c r="C1185" s="636">
        <v>1230</v>
      </c>
      <c r="D1185" s="636">
        <v>39372.300000000003</v>
      </c>
      <c r="E1185" s="603"/>
    </row>
    <row r="1186" spans="1:5" x14ac:dyDescent="0.3">
      <c r="A1186" s="635" t="s">
        <v>2852</v>
      </c>
      <c r="B1186" s="635">
        <v>32.770000000000003</v>
      </c>
      <c r="C1186" s="636">
        <v>7032</v>
      </c>
      <c r="D1186" s="636">
        <v>230438.64</v>
      </c>
      <c r="E1186" s="603"/>
    </row>
    <row r="1187" spans="1:5" x14ac:dyDescent="0.3">
      <c r="A1187" s="635" t="s">
        <v>2851</v>
      </c>
      <c r="B1187" s="635">
        <v>32.75</v>
      </c>
      <c r="C1187" s="636">
        <v>6390</v>
      </c>
      <c r="D1187" s="636">
        <v>209272.5</v>
      </c>
      <c r="E1187" s="603"/>
    </row>
    <row r="1188" spans="1:5" x14ac:dyDescent="0.3">
      <c r="A1188" s="635" t="s">
        <v>2850</v>
      </c>
      <c r="B1188" s="635">
        <v>34.4</v>
      </c>
      <c r="C1188" s="636">
        <v>30475</v>
      </c>
      <c r="D1188" s="636">
        <v>1048340</v>
      </c>
      <c r="E1188" s="603"/>
    </row>
    <row r="1189" spans="1:5" x14ac:dyDescent="0.3">
      <c r="A1189" s="635" t="s">
        <v>2849</v>
      </c>
      <c r="B1189" s="635">
        <v>34.29</v>
      </c>
      <c r="C1189" s="636">
        <v>13875</v>
      </c>
      <c r="D1189" s="636">
        <v>475773.75</v>
      </c>
      <c r="E1189" s="603"/>
    </row>
    <row r="1190" spans="1:5" x14ac:dyDescent="0.3">
      <c r="A1190" s="635" t="s">
        <v>2848</v>
      </c>
      <c r="B1190" s="635">
        <v>33.619999999999997</v>
      </c>
      <c r="C1190" s="636">
        <v>8950</v>
      </c>
      <c r="D1190" s="636">
        <v>300899</v>
      </c>
      <c r="E1190" s="603"/>
    </row>
    <row r="1191" spans="1:5" x14ac:dyDescent="0.3">
      <c r="A1191" s="635" t="s">
        <v>2847</v>
      </c>
      <c r="B1191" s="635">
        <v>33.69</v>
      </c>
      <c r="C1191" s="636">
        <v>10436</v>
      </c>
      <c r="D1191" s="636">
        <v>351588.84</v>
      </c>
      <c r="E1191" s="603"/>
    </row>
    <row r="1192" spans="1:5" x14ac:dyDescent="0.3">
      <c r="A1192" s="635" t="s">
        <v>522</v>
      </c>
      <c r="B1192" s="635">
        <v>33.700000000000003</v>
      </c>
      <c r="C1192" s="636">
        <v>13188</v>
      </c>
      <c r="D1192" s="636">
        <v>444435.6</v>
      </c>
      <c r="E1192" s="603"/>
    </row>
    <row r="1193" spans="1:5" x14ac:dyDescent="0.3">
      <c r="A1193" s="635" t="s">
        <v>2846</v>
      </c>
      <c r="B1193" s="635">
        <v>33.51</v>
      </c>
      <c r="C1193" s="636">
        <v>10767</v>
      </c>
      <c r="D1193" s="636">
        <v>360802.17</v>
      </c>
      <c r="E1193" s="603"/>
    </row>
    <row r="1194" spans="1:5" x14ac:dyDescent="0.3">
      <c r="A1194" s="635" t="s">
        <v>2845</v>
      </c>
      <c r="B1194" s="635">
        <v>34.03</v>
      </c>
      <c r="C1194" s="636">
        <v>7300</v>
      </c>
      <c r="D1194" s="636">
        <v>248419</v>
      </c>
      <c r="E1194" s="603"/>
    </row>
    <row r="1195" spans="1:5" x14ac:dyDescent="0.3">
      <c r="A1195" s="635" t="s">
        <v>2844</v>
      </c>
      <c r="B1195" s="635">
        <v>34.07</v>
      </c>
      <c r="C1195" s="636">
        <v>9629</v>
      </c>
      <c r="D1195" s="636">
        <v>328060.03000000003</v>
      </c>
      <c r="E1195" s="603"/>
    </row>
    <row r="1196" spans="1:5" x14ac:dyDescent="0.3">
      <c r="A1196" s="635" t="s">
        <v>2843</v>
      </c>
      <c r="B1196" s="635">
        <v>33.85</v>
      </c>
      <c r="C1196" s="636">
        <v>8500</v>
      </c>
      <c r="D1196" s="636">
        <v>287725</v>
      </c>
      <c r="E1196" s="603"/>
    </row>
    <row r="1197" spans="1:5" x14ac:dyDescent="0.3">
      <c r="A1197" s="635" t="s">
        <v>2842</v>
      </c>
      <c r="B1197" s="635">
        <v>33.840000000000003</v>
      </c>
      <c r="C1197" s="636">
        <v>5354</v>
      </c>
      <c r="D1197" s="636">
        <v>181179.36</v>
      </c>
      <c r="E1197" s="603"/>
    </row>
    <row r="1198" spans="1:5" x14ac:dyDescent="0.3">
      <c r="A1198" s="635" t="s">
        <v>2841</v>
      </c>
      <c r="B1198" s="635">
        <v>33.74</v>
      </c>
      <c r="C1198" s="636">
        <v>8535</v>
      </c>
      <c r="D1198" s="636">
        <v>287970.90000000002</v>
      </c>
      <c r="E1198" s="603"/>
    </row>
    <row r="1199" spans="1:5" x14ac:dyDescent="0.3">
      <c r="A1199" s="635" t="s">
        <v>2840</v>
      </c>
      <c r="B1199" s="635">
        <v>34.979999999999997</v>
      </c>
      <c r="C1199" s="636">
        <v>32933</v>
      </c>
      <c r="D1199" s="636">
        <v>1151996.3400000001</v>
      </c>
      <c r="E1199" s="603"/>
    </row>
    <row r="1200" spans="1:5" x14ac:dyDescent="0.3">
      <c r="A1200" s="635" t="s">
        <v>2839</v>
      </c>
      <c r="B1200" s="635">
        <v>34.32</v>
      </c>
      <c r="C1200" s="636">
        <v>26786</v>
      </c>
      <c r="D1200" s="636">
        <v>919295.52</v>
      </c>
      <c r="E1200" s="603"/>
    </row>
    <row r="1201" spans="1:5" x14ac:dyDescent="0.3">
      <c r="A1201" s="635" t="s">
        <v>2838</v>
      </c>
      <c r="B1201" s="635">
        <v>34.799999999999997</v>
      </c>
      <c r="C1201" s="636">
        <v>22753</v>
      </c>
      <c r="D1201" s="636">
        <v>791804.39999999991</v>
      </c>
      <c r="E1201" s="603"/>
    </row>
    <row r="1202" spans="1:5" x14ac:dyDescent="0.3">
      <c r="A1202" s="635" t="s">
        <v>2837</v>
      </c>
      <c r="B1202" s="635">
        <v>36.07</v>
      </c>
      <c r="C1202" s="636">
        <v>11926</v>
      </c>
      <c r="D1202" s="636">
        <v>430170.82</v>
      </c>
      <c r="E1202" s="603"/>
    </row>
    <row r="1203" spans="1:5" x14ac:dyDescent="0.3">
      <c r="A1203" s="635" t="s">
        <v>2836</v>
      </c>
      <c r="B1203" s="635">
        <v>35.01</v>
      </c>
      <c r="C1203" s="636">
        <v>18523</v>
      </c>
      <c r="D1203" s="636">
        <v>648490.23</v>
      </c>
      <c r="E1203" s="603"/>
    </row>
    <row r="1204" spans="1:5" x14ac:dyDescent="0.3">
      <c r="A1204" s="635" t="s">
        <v>2835</v>
      </c>
      <c r="B1204" s="635">
        <v>35.56</v>
      </c>
      <c r="C1204" s="636">
        <v>22256</v>
      </c>
      <c r="D1204" s="636">
        <v>791423.3600000001</v>
      </c>
      <c r="E1204" s="603"/>
    </row>
    <row r="1205" spans="1:5" x14ac:dyDescent="0.3">
      <c r="A1205" s="635" t="s">
        <v>2834</v>
      </c>
      <c r="B1205" s="635">
        <v>34.880000000000003</v>
      </c>
      <c r="C1205" s="636">
        <v>10222</v>
      </c>
      <c r="D1205" s="636">
        <v>356543.36</v>
      </c>
      <c r="E1205" s="603"/>
    </row>
    <row r="1206" spans="1:5" x14ac:dyDescent="0.3">
      <c r="A1206" s="635" t="s">
        <v>2833</v>
      </c>
      <c r="B1206" s="635">
        <v>34.28</v>
      </c>
      <c r="C1206" s="636">
        <v>7666</v>
      </c>
      <c r="D1206" s="636">
        <v>262790.48</v>
      </c>
      <c r="E1206" s="603"/>
    </row>
    <row r="1207" spans="1:5" x14ac:dyDescent="0.3">
      <c r="A1207" s="635" t="s">
        <v>2832</v>
      </c>
      <c r="B1207" s="635">
        <v>34.15</v>
      </c>
      <c r="C1207" s="636">
        <v>5612</v>
      </c>
      <c r="D1207" s="636">
        <v>191649.8</v>
      </c>
      <c r="E1207" s="603"/>
    </row>
    <row r="1208" spans="1:5" x14ac:dyDescent="0.3">
      <c r="A1208" s="635" t="s">
        <v>2831</v>
      </c>
      <c r="B1208" s="635">
        <v>33.93</v>
      </c>
      <c r="C1208" s="636">
        <v>3721</v>
      </c>
      <c r="D1208" s="636">
        <v>126253.53</v>
      </c>
      <c r="E1208" s="603"/>
    </row>
    <row r="1209" spans="1:5" x14ac:dyDescent="0.3">
      <c r="A1209" s="635" t="s">
        <v>2830</v>
      </c>
      <c r="B1209" s="635">
        <v>34.869999999999997</v>
      </c>
      <c r="C1209" s="636">
        <v>14309</v>
      </c>
      <c r="D1209" s="636">
        <v>498954.83</v>
      </c>
      <c r="E1209" s="603"/>
    </row>
    <row r="1210" spans="1:5" x14ac:dyDescent="0.3">
      <c r="A1210" s="635" t="s">
        <v>2829</v>
      </c>
      <c r="B1210" s="635">
        <v>35.590000000000003</v>
      </c>
      <c r="C1210" s="636">
        <v>10250</v>
      </c>
      <c r="D1210" s="636">
        <v>364797.50000000012</v>
      </c>
      <c r="E1210" s="603"/>
    </row>
    <row r="1211" spans="1:5" x14ac:dyDescent="0.3">
      <c r="A1211" s="635" t="s">
        <v>2828</v>
      </c>
      <c r="B1211" s="635">
        <v>34.21</v>
      </c>
      <c r="C1211" s="636">
        <v>5258</v>
      </c>
      <c r="D1211" s="636">
        <v>179876.18</v>
      </c>
      <c r="E1211" s="603"/>
    </row>
    <row r="1212" spans="1:5" x14ac:dyDescent="0.3">
      <c r="A1212" s="635" t="s">
        <v>2827</v>
      </c>
      <c r="B1212" s="635">
        <v>33.96</v>
      </c>
      <c r="C1212" s="636">
        <v>4434</v>
      </c>
      <c r="D1212" s="636">
        <v>150578.64000000001</v>
      </c>
      <c r="E1212" s="603"/>
    </row>
    <row r="1213" spans="1:5" x14ac:dyDescent="0.3">
      <c r="A1213" s="635" t="s">
        <v>523</v>
      </c>
      <c r="B1213" s="635">
        <v>32.99</v>
      </c>
      <c r="C1213" s="636">
        <v>13405</v>
      </c>
      <c r="D1213" s="636">
        <v>442230.95</v>
      </c>
      <c r="E1213" s="603"/>
    </row>
    <row r="1214" spans="1:5" x14ac:dyDescent="0.3">
      <c r="A1214" s="635" t="s">
        <v>2826</v>
      </c>
      <c r="B1214" s="635">
        <v>32.6</v>
      </c>
      <c r="C1214" s="636">
        <v>5595</v>
      </c>
      <c r="D1214" s="636">
        <v>182397</v>
      </c>
      <c r="E1214" s="603"/>
    </row>
    <row r="1215" spans="1:5" x14ac:dyDescent="0.3">
      <c r="A1215" s="635" t="s">
        <v>2825</v>
      </c>
      <c r="B1215" s="635">
        <v>32.61</v>
      </c>
      <c r="C1215" s="636">
        <v>1785</v>
      </c>
      <c r="D1215" s="636">
        <v>58208.85</v>
      </c>
      <c r="E1215" s="603"/>
    </row>
    <row r="1216" spans="1:5" x14ac:dyDescent="0.3">
      <c r="A1216" s="635" t="s">
        <v>2824</v>
      </c>
      <c r="B1216" s="635">
        <v>32.42</v>
      </c>
      <c r="C1216" s="636">
        <v>2710</v>
      </c>
      <c r="D1216" s="636">
        <v>87858.200000000012</v>
      </c>
      <c r="E1216" s="603"/>
    </row>
    <row r="1217" spans="1:5" x14ac:dyDescent="0.3">
      <c r="A1217" s="635" t="s">
        <v>2823</v>
      </c>
      <c r="B1217" s="635">
        <v>32.450000000000003</v>
      </c>
      <c r="C1217" s="636">
        <v>3064</v>
      </c>
      <c r="D1217" s="636">
        <v>99426.8</v>
      </c>
      <c r="E1217" s="603"/>
    </row>
    <row r="1218" spans="1:5" x14ac:dyDescent="0.3">
      <c r="A1218" s="635" t="s">
        <v>2822</v>
      </c>
      <c r="B1218" s="635">
        <v>31.45</v>
      </c>
      <c r="C1218" s="636">
        <v>4495</v>
      </c>
      <c r="D1218" s="636">
        <v>141367.75</v>
      </c>
      <c r="E1218" s="603"/>
    </row>
    <row r="1219" spans="1:5" x14ac:dyDescent="0.3">
      <c r="A1219" s="635" t="s">
        <v>2821</v>
      </c>
      <c r="B1219" s="635">
        <v>32.51</v>
      </c>
      <c r="C1219" s="636">
        <v>1511</v>
      </c>
      <c r="D1219" s="636">
        <v>49122.61</v>
      </c>
      <c r="E1219" s="603"/>
    </row>
    <row r="1220" spans="1:5" x14ac:dyDescent="0.3">
      <c r="A1220" s="635" t="s">
        <v>2820</v>
      </c>
      <c r="B1220" s="635">
        <v>31.88</v>
      </c>
      <c r="C1220" s="636">
        <v>258</v>
      </c>
      <c r="D1220" s="636">
        <v>8225.0399999999991</v>
      </c>
      <c r="E1220" s="603"/>
    </row>
    <row r="1221" spans="1:5" x14ac:dyDescent="0.3">
      <c r="A1221" s="635" t="s">
        <v>2819</v>
      </c>
      <c r="B1221" s="635">
        <v>31.32</v>
      </c>
      <c r="C1221" s="636">
        <v>3239</v>
      </c>
      <c r="D1221" s="636">
        <v>101445.48</v>
      </c>
      <c r="E1221" s="603"/>
    </row>
    <row r="1222" spans="1:5" x14ac:dyDescent="0.3">
      <c r="A1222" s="635" t="s">
        <v>2818</v>
      </c>
      <c r="B1222" s="635">
        <v>31.37</v>
      </c>
      <c r="C1222" s="636">
        <v>2150</v>
      </c>
      <c r="D1222" s="636">
        <v>67445.5</v>
      </c>
      <c r="E1222" s="603"/>
    </row>
    <row r="1223" spans="1:5" x14ac:dyDescent="0.3">
      <c r="A1223" s="635" t="s">
        <v>2817</v>
      </c>
      <c r="B1223" s="635">
        <v>31.86</v>
      </c>
      <c r="C1223" s="636">
        <v>825</v>
      </c>
      <c r="D1223" s="636">
        <v>26284.5</v>
      </c>
      <c r="E1223" s="603"/>
    </row>
    <row r="1224" spans="1:5" x14ac:dyDescent="0.3">
      <c r="A1224" s="635" t="s">
        <v>2816</v>
      </c>
      <c r="B1224" s="635">
        <v>32.020000000000003</v>
      </c>
      <c r="C1224" s="636">
        <v>1370</v>
      </c>
      <c r="D1224" s="636">
        <v>43867.4</v>
      </c>
      <c r="E1224" s="603"/>
    </row>
    <row r="1225" spans="1:5" x14ac:dyDescent="0.3">
      <c r="A1225" s="635" t="s">
        <v>2815</v>
      </c>
      <c r="B1225" s="635">
        <v>31.54</v>
      </c>
      <c r="C1225" s="636">
        <v>1235</v>
      </c>
      <c r="D1225" s="636">
        <v>38951.9</v>
      </c>
      <c r="E1225" s="603"/>
    </row>
    <row r="1226" spans="1:5" x14ac:dyDescent="0.3">
      <c r="A1226" s="635" t="s">
        <v>2814</v>
      </c>
      <c r="B1226" s="635">
        <v>30.97</v>
      </c>
      <c r="C1226" s="636">
        <v>1960</v>
      </c>
      <c r="D1226" s="636">
        <v>60701.2</v>
      </c>
      <c r="E1226" s="603"/>
    </row>
    <row r="1227" spans="1:5" x14ac:dyDescent="0.3">
      <c r="A1227" s="635" t="s">
        <v>2813</v>
      </c>
      <c r="B1227" s="635">
        <v>30.91</v>
      </c>
      <c r="C1227" s="636">
        <v>150</v>
      </c>
      <c r="D1227" s="636">
        <v>4636.5</v>
      </c>
      <c r="E1227" s="603"/>
    </row>
    <row r="1228" spans="1:5" x14ac:dyDescent="0.3">
      <c r="A1228" s="635" t="s">
        <v>2812</v>
      </c>
      <c r="B1228" s="635">
        <v>30.88</v>
      </c>
      <c r="C1228" s="636">
        <v>690</v>
      </c>
      <c r="D1228" s="636">
        <v>21307.200000000001</v>
      </c>
      <c r="E1228" s="603"/>
    </row>
    <row r="1229" spans="1:5" x14ac:dyDescent="0.3">
      <c r="A1229" s="635" t="s">
        <v>2811</v>
      </c>
      <c r="B1229" s="635">
        <v>31.85</v>
      </c>
      <c r="C1229" s="636">
        <v>1992</v>
      </c>
      <c r="D1229" s="636">
        <v>63445.2</v>
      </c>
      <c r="E1229" s="603"/>
    </row>
    <row r="1230" spans="1:5" x14ac:dyDescent="0.3">
      <c r="A1230" s="635" t="s">
        <v>2810</v>
      </c>
      <c r="B1230" s="635">
        <v>32.17</v>
      </c>
      <c r="C1230" s="636">
        <v>1443</v>
      </c>
      <c r="D1230" s="636">
        <v>46421.31</v>
      </c>
      <c r="E1230" s="603"/>
    </row>
    <row r="1231" spans="1:5" x14ac:dyDescent="0.3">
      <c r="A1231" s="635" t="s">
        <v>2809</v>
      </c>
      <c r="B1231" s="635">
        <v>31.78</v>
      </c>
      <c r="C1231" s="636">
        <v>3390</v>
      </c>
      <c r="D1231" s="636">
        <v>107734.2</v>
      </c>
      <c r="E1231" s="603"/>
    </row>
    <row r="1232" spans="1:5" x14ac:dyDescent="0.3">
      <c r="A1232" s="635" t="s">
        <v>2808</v>
      </c>
      <c r="B1232" s="635">
        <v>31.77</v>
      </c>
      <c r="C1232" s="636">
        <v>5742</v>
      </c>
      <c r="D1232" s="636">
        <v>182423.34</v>
      </c>
      <c r="E1232" s="603"/>
    </row>
    <row r="1233" spans="1:5" x14ac:dyDescent="0.3">
      <c r="A1233" s="635" t="s">
        <v>524</v>
      </c>
      <c r="B1233" s="635">
        <v>31.17</v>
      </c>
      <c r="C1233" s="636">
        <v>2835</v>
      </c>
      <c r="D1233" s="636">
        <v>88366.950000000012</v>
      </c>
      <c r="E1233" s="603"/>
    </row>
    <row r="1234" spans="1:5" x14ac:dyDescent="0.3">
      <c r="A1234" s="635" t="s">
        <v>2807</v>
      </c>
      <c r="B1234" s="635">
        <v>30.59</v>
      </c>
      <c r="C1234" s="636">
        <v>2205</v>
      </c>
      <c r="D1234" s="636">
        <v>67450.95</v>
      </c>
      <c r="E1234" s="603"/>
    </row>
    <row r="1235" spans="1:5" x14ac:dyDescent="0.3">
      <c r="A1235" s="635" t="s">
        <v>2806</v>
      </c>
      <c r="B1235" s="635">
        <v>30.25</v>
      </c>
      <c r="C1235" s="636">
        <v>1200</v>
      </c>
      <c r="D1235" s="636">
        <v>36300</v>
      </c>
      <c r="E1235" s="603"/>
    </row>
    <row r="1236" spans="1:5" x14ac:dyDescent="0.3">
      <c r="A1236" s="635" t="s">
        <v>2805</v>
      </c>
      <c r="B1236" s="635">
        <v>31.99</v>
      </c>
      <c r="C1236" s="636">
        <v>6240</v>
      </c>
      <c r="D1236" s="636">
        <v>199617.6</v>
      </c>
      <c r="E1236" s="603"/>
    </row>
    <row r="1237" spans="1:5" x14ac:dyDescent="0.3">
      <c r="A1237" s="635" t="s">
        <v>2804</v>
      </c>
      <c r="B1237" s="635">
        <v>32.130000000000003</v>
      </c>
      <c r="C1237" s="636">
        <v>8672</v>
      </c>
      <c r="D1237" s="636">
        <v>278631.36</v>
      </c>
      <c r="E1237" s="603"/>
    </row>
    <row r="1238" spans="1:5" x14ac:dyDescent="0.3">
      <c r="A1238" s="635" t="s">
        <v>2803</v>
      </c>
      <c r="B1238" s="635">
        <v>31.94</v>
      </c>
      <c r="C1238" s="636">
        <v>2356</v>
      </c>
      <c r="D1238" s="636">
        <v>75250.64</v>
      </c>
      <c r="E1238" s="603"/>
    </row>
    <row r="1239" spans="1:5" x14ac:dyDescent="0.3">
      <c r="A1239" s="635" t="s">
        <v>2802</v>
      </c>
      <c r="B1239" s="635">
        <v>26.6</v>
      </c>
      <c r="C1239" s="636">
        <v>370</v>
      </c>
      <c r="D1239" s="636">
        <v>9842</v>
      </c>
      <c r="E1239" s="603"/>
    </row>
    <row r="1240" spans="1:5" x14ac:dyDescent="0.3">
      <c r="A1240" s="635" t="s">
        <v>2801</v>
      </c>
      <c r="B1240" s="635">
        <v>32</v>
      </c>
      <c r="C1240" s="636">
        <v>6400</v>
      </c>
      <c r="D1240" s="636">
        <v>204800</v>
      </c>
      <c r="E1240" s="603"/>
    </row>
    <row r="1241" spans="1:5" x14ac:dyDescent="0.3">
      <c r="A1241" s="635" t="s">
        <v>2800</v>
      </c>
      <c r="B1241" s="635">
        <v>32</v>
      </c>
      <c r="C1241" s="636">
        <v>12691</v>
      </c>
      <c r="D1241" s="636">
        <v>406112</v>
      </c>
      <c r="E1241" s="603"/>
    </row>
    <row r="1242" spans="1:5" x14ac:dyDescent="0.3">
      <c r="A1242" s="635" t="s">
        <v>2799</v>
      </c>
      <c r="B1242" s="635">
        <v>31.71</v>
      </c>
      <c r="C1242" s="636">
        <v>595</v>
      </c>
      <c r="D1242" s="636">
        <v>18867.45</v>
      </c>
      <c r="E1242" s="603"/>
    </row>
    <row r="1243" spans="1:5" x14ac:dyDescent="0.3">
      <c r="A1243" s="635" t="s">
        <v>2798</v>
      </c>
      <c r="B1243" s="635">
        <v>30.53</v>
      </c>
      <c r="C1243" s="636">
        <v>1746</v>
      </c>
      <c r="D1243" s="636">
        <v>53305.38</v>
      </c>
      <c r="E1243" s="603"/>
    </row>
    <row r="1244" spans="1:5" x14ac:dyDescent="0.3">
      <c r="A1244" s="635" t="s">
        <v>2797</v>
      </c>
      <c r="B1244" s="635">
        <v>29.84</v>
      </c>
      <c r="C1244" s="636">
        <v>1021</v>
      </c>
      <c r="D1244" s="636">
        <v>30466.639999999999</v>
      </c>
      <c r="E1244" s="603"/>
    </row>
    <row r="1245" spans="1:5" x14ac:dyDescent="0.3">
      <c r="A1245" s="635" t="s">
        <v>2796</v>
      </c>
      <c r="B1245" s="635">
        <v>30.17</v>
      </c>
      <c r="C1245" s="636">
        <v>355</v>
      </c>
      <c r="D1245" s="636">
        <v>10710.35</v>
      </c>
      <c r="E1245" s="603"/>
    </row>
    <row r="1246" spans="1:5" x14ac:dyDescent="0.3">
      <c r="A1246" s="635" t="s">
        <v>2795</v>
      </c>
      <c r="B1246" s="635">
        <v>29.36</v>
      </c>
      <c r="C1246" s="636">
        <v>543</v>
      </c>
      <c r="D1246" s="636">
        <v>15942.48</v>
      </c>
      <c r="E1246" s="603"/>
    </row>
    <row r="1247" spans="1:5" x14ac:dyDescent="0.3">
      <c r="A1247" s="635" t="s">
        <v>2794</v>
      </c>
      <c r="B1247" s="635">
        <v>29.91</v>
      </c>
      <c r="C1247" s="636">
        <v>540</v>
      </c>
      <c r="D1247" s="636">
        <v>16151.4</v>
      </c>
      <c r="E1247" s="603"/>
    </row>
    <row r="1248" spans="1:5" x14ac:dyDescent="0.3">
      <c r="A1248" s="635" t="s">
        <v>2793</v>
      </c>
      <c r="B1248" s="635">
        <v>27.22</v>
      </c>
      <c r="C1248" s="636">
        <v>6057</v>
      </c>
      <c r="D1248" s="636">
        <v>164871.54</v>
      </c>
      <c r="E1248" s="603"/>
    </row>
    <row r="1249" spans="1:5" x14ac:dyDescent="0.3">
      <c r="A1249" s="635" t="s">
        <v>2792</v>
      </c>
      <c r="B1249" s="635">
        <v>26.41</v>
      </c>
      <c r="C1249" s="636">
        <v>4793</v>
      </c>
      <c r="D1249" s="636">
        <v>126583.13</v>
      </c>
      <c r="E1249" s="603"/>
    </row>
    <row r="1250" spans="1:5" x14ac:dyDescent="0.3">
      <c r="A1250" s="635" t="s">
        <v>2791</v>
      </c>
      <c r="B1250" s="635">
        <v>26.4</v>
      </c>
      <c r="C1250" s="636">
        <v>7585</v>
      </c>
      <c r="D1250" s="636">
        <v>200244</v>
      </c>
      <c r="E1250" s="603"/>
    </row>
    <row r="1251" spans="1:5" x14ac:dyDescent="0.3">
      <c r="A1251" s="635" t="s">
        <v>2790</v>
      </c>
      <c r="B1251" s="635">
        <v>25.32</v>
      </c>
      <c r="C1251" s="636">
        <v>3485</v>
      </c>
      <c r="D1251" s="636">
        <v>88240.2</v>
      </c>
      <c r="E1251" s="603"/>
    </row>
    <row r="1252" spans="1:5" x14ac:dyDescent="0.3">
      <c r="A1252" s="635" t="s">
        <v>2789</v>
      </c>
      <c r="B1252" s="635">
        <v>25.92</v>
      </c>
      <c r="C1252" s="636">
        <v>6913</v>
      </c>
      <c r="D1252" s="636">
        <v>179184.96</v>
      </c>
      <c r="E1252" s="603"/>
    </row>
    <row r="1253" spans="1:5" x14ac:dyDescent="0.3">
      <c r="A1253" s="635" t="s">
        <v>525</v>
      </c>
      <c r="B1253" s="635">
        <v>26.45</v>
      </c>
      <c r="C1253" s="636">
        <v>1730</v>
      </c>
      <c r="D1253" s="636">
        <v>45758.5</v>
      </c>
      <c r="E1253" s="603"/>
    </row>
    <row r="1254" spans="1:5" x14ac:dyDescent="0.3">
      <c r="A1254" s="635" t="s">
        <v>2788</v>
      </c>
      <c r="B1254" s="635">
        <v>26.01</v>
      </c>
      <c r="C1254" s="636">
        <v>2718</v>
      </c>
      <c r="D1254" s="636">
        <v>70695.180000000008</v>
      </c>
      <c r="E1254" s="603"/>
    </row>
    <row r="1255" spans="1:5" x14ac:dyDescent="0.3">
      <c r="A1255" s="635" t="s">
        <v>2787</v>
      </c>
      <c r="B1255" s="635">
        <v>26.95</v>
      </c>
      <c r="C1255" s="636">
        <v>4500</v>
      </c>
      <c r="D1255" s="636">
        <v>121275</v>
      </c>
      <c r="E1255" s="603"/>
    </row>
    <row r="1256" spans="1:5" x14ac:dyDescent="0.3">
      <c r="A1256" s="635" t="s">
        <v>2786</v>
      </c>
      <c r="B1256" s="635">
        <v>26.73</v>
      </c>
      <c r="C1256" s="636">
        <v>1900</v>
      </c>
      <c r="D1256" s="636">
        <v>50787</v>
      </c>
      <c r="E1256" s="603"/>
    </row>
    <row r="1257" spans="1:5" x14ac:dyDescent="0.3">
      <c r="A1257" s="635" t="s">
        <v>2785</v>
      </c>
      <c r="B1257" s="635">
        <v>25.92</v>
      </c>
      <c r="C1257" s="636">
        <v>2495</v>
      </c>
      <c r="D1257" s="636">
        <v>64670.400000000001</v>
      </c>
      <c r="E1257" s="603"/>
    </row>
    <row r="1258" spans="1:5" x14ac:dyDescent="0.3">
      <c r="A1258" s="635" t="s">
        <v>2784</v>
      </c>
      <c r="B1258" s="635">
        <v>26.6</v>
      </c>
      <c r="C1258" s="636">
        <v>644</v>
      </c>
      <c r="D1258" s="636">
        <v>17130.400000000001</v>
      </c>
      <c r="E1258" s="603"/>
    </row>
    <row r="1259" spans="1:5" x14ac:dyDescent="0.3">
      <c r="A1259" s="635" t="s">
        <v>2783</v>
      </c>
      <c r="B1259" s="635">
        <v>26.6</v>
      </c>
      <c r="C1259" s="636">
        <v>370</v>
      </c>
      <c r="D1259" s="636">
        <v>9842</v>
      </c>
      <c r="E1259" s="603"/>
    </row>
    <row r="1260" spans="1:5" x14ac:dyDescent="0.3">
      <c r="A1260" s="635" t="s">
        <v>2782</v>
      </c>
      <c r="B1260" s="635">
        <v>28.85</v>
      </c>
      <c r="C1260" s="636">
        <v>2720</v>
      </c>
      <c r="D1260" s="636">
        <v>78472</v>
      </c>
      <c r="E1260" s="603"/>
    </row>
    <row r="1261" spans="1:5" x14ac:dyDescent="0.3">
      <c r="A1261" s="635" t="s">
        <v>2781</v>
      </c>
      <c r="B1261" s="635">
        <v>28.81</v>
      </c>
      <c r="C1261" s="636">
        <v>905</v>
      </c>
      <c r="D1261" s="636">
        <v>26073.05</v>
      </c>
      <c r="E1261" s="603"/>
    </row>
    <row r="1262" spans="1:5" x14ac:dyDescent="0.3">
      <c r="A1262" s="635" t="s">
        <v>2780</v>
      </c>
      <c r="B1262" s="635">
        <v>28.32</v>
      </c>
      <c r="C1262" s="636">
        <v>2394</v>
      </c>
      <c r="D1262" s="636">
        <v>67798.080000000002</v>
      </c>
      <c r="E1262" s="603"/>
    </row>
    <row r="1263" spans="1:5" x14ac:dyDescent="0.3">
      <c r="A1263" s="635" t="s">
        <v>2779</v>
      </c>
      <c r="B1263" s="635">
        <v>28.91</v>
      </c>
      <c r="C1263" s="636">
        <v>6349</v>
      </c>
      <c r="D1263" s="636">
        <v>183549.59</v>
      </c>
      <c r="E1263" s="603"/>
    </row>
    <row r="1264" spans="1:5" x14ac:dyDescent="0.3">
      <c r="A1264" s="635" t="s">
        <v>2778</v>
      </c>
      <c r="B1264" s="635">
        <v>28.97</v>
      </c>
      <c r="C1264" s="636">
        <v>9485</v>
      </c>
      <c r="D1264" s="636">
        <v>274780.45</v>
      </c>
      <c r="E1264" s="603"/>
    </row>
    <row r="1265" spans="1:5" x14ac:dyDescent="0.3">
      <c r="A1265" s="635" t="s">
        <v>2777</v>
      </c>
      <c r="B1265" s="635">
        <v>28.34</v>
      </c>
      <c r="C1265" s="636">
        <v>3112</v>
      </c>
      <c r="D1265" s="636">
        <v>88194.08</v>
      </c>
      <c r="E1265" s="603"/>
    </row>
    <row r="1266" spans="1:5" x14ac:dyDescent="0.3">
      <c r="A1266" s="635" t="s">
        <v>2776</v>
      </c>
      <c r="B1266" s="635">
        <v>28.58</v>
      </c>
      <c r="C1266" s="636">
        <v>2077</v>
      </c>
      <c r="D1266" s="636">
        <v>59360.66</v>
      </c>
      <c r="E1266" s="603"/>
    </row>
    <row r="1267" spans="1:5" x14ac:dyDescent="0.3">
      <c r="A1267" s="635" t="s">
        <v>2775</v>
      </c>
      <c r="B1267" s="635">
        <v>27.97</v>
      </c>
      <c r="C1267" s="636">
        <v>5600</v>
      </c>
      <c r="D1267" s="636">
        <v>156632</v>
      </c>
      <c r="E1267" s="603"/>
    </row>
    <row r="1268" spans="1:5" x14ac:dyDescent="0.3">
      <c r="A1268" s="635" t="s">
        <v>2774</v>
      </c>
      <c r="B1268" s="635">
        <v>28.02</v>
      </c>
      <c r="C1268" s="636">
        <v>1103</v>
      </c>
      <c r="D1268" s="636">
        <v>30906.06</v>
      </c>
      <c r="E1268" s="603"/>
    </row>
    <row r="1269" spans="1:5" x14ac:dyDescent="0.3">
      <c r="A1269" s="635" t="s">
        <v>2773</v>
      </c>
      <c r="B1269" s="635">
        <v>28.15</v>
      </c>
      <c r="C1269" s="636">
        <v>177</v>
      </c>
      <c r="D1269" s="636">
        <v>4982.55</v>
      </c>
      <c r="E1269" s="603"/>
    </row>
    <row r="1270" spans="1:5" x14ac:dyDescent="0.3">
      <c r="A1270" s="635" t="s">
        <v>2772</v>
      </c>
      <c r="B1270" s="635">
        <v>28.05</v>
      </c>
      <c r="C1270" s="636">
        <v>232</v>
      </c>
      <c r="D1270" s="636">
        <v>6507.6</v>
      </c>
      <c r="E1270" s="603"/>
    </row>
    <row r="1271" spans="1:5" x14ac:dyDescent="0.3">
      <c r="A1271" s="635" t="s">
        <v>2771</v>
      </c>
      <c r="B1271" s="635">
        <v>27.79</v>
      </c>
      <c r="C1271" s="636">
        <v>1692</v>
      </c>
      <c r="D1271" s="636">
        <v>47020.68</v>
      </c>
      <c r="E1271" s="603"/>
    </row>
    <row r="1272" spans="1:5" x14ac:dyDescent="0.3">
      <c r="A1272" s="635" t="s">
        <v>526</v>
      </c>
      <c r="B1272" s="635">
        <v>28.92</v>
      </c>
      <c r="C1272" s="636">
        <v>1200</v>
      </c>
      <c r="D1272" s="636">
        <v>34704</v>
      </c>
      <c r="E1272" s="603"/>
    </row>
    <row r="1273" spans="1:5" x14ac:dyDescent="0.3">
      <c r="A1273" s="635" t="s">
        <v>2770</v>
      </c>
      <c r="B1273" s="635">
        <v>29.37</v>
      </c>
      <c r="C1273" s="636">
        <v>2626</v>
      </c>
      <c r="D1273" s="636">
        <v>77125.62</v>
      </c>
      <c r="E1273" s="603"/>
    </row>
    <row r="1274" spans="1:5" x14ac:dyDescent="0.3">
      <c r="A1274" s="635" t="s">
        <v>2769</v>
      </c>
      <c r="B1274" s="635">
        <v>28.78</v>
      </c>
      <c r="C1274" s="636">
        <v>425</v>
      </c>
      <c r="D1274" s="636">
        <v>12231.5</v>
      </c>
      <c r="E1274" s="603"/>
    </row>
    <row r="1275" spans="1:5" x14ac:dyDescent="0.3">
      <c r="A1275" s="635" t="s">
        <v>2768</v>
      </c>
      <c r="B1275" s="635">
        <v>29</v>
      </c>
      <c r="C1275" s="636">
        <v>2784</v>
      </c>
      <c r="D1275" s="636">
        <v>80736</v>
      </c>
      <c r="E1275" s="603"/>
    </row>
    <row r="1276" spans="1:5" x14ac:dyDescent="0.3">
      <c r="A1276" s="635" t="s">
        <v>2767</v>
      </c>
      <c r="B1276" s="635">
        <v>29.13</v>
      </c>
      <c r="C1276" s="636">
        <v>8663</v>
      </c>
      <c r="D1276" s="636">
        <v>252353.19</v>
      </c>
      <c r="E1276" s="603"/>
    </row>
    <row r="1277" spans="1:5" x14ac:dyDescent="0.3">
      <c r="A1277" s="635" t="s">
        <v>2766</v>
      </c>
      <c r="B1277" s="635">
        <v>29.01</v>
      </c>
      <c r="C1277" s="636">
        <v>1050</v>
      </c>
      <c r="D1277" s="636">
        <v>30460.5</v>
      </c>
      <c r="E1277" s="603"/>
    </row>
    <row r="1278" spans="1:5" x14ac:dyDescent="0.3">
      <c r="A1278" s="635" t="s">
        <v>2765</v>
      </c>
      <c r="B1278" s="635">
        <v>27.97</v>
      </c>
      <c r="C1278" s="636">
        <v>3846</v>
      </c>
      <c r="D1278" s="636">
        <v>107572.62</v>
      </c>
      <c r="E1278" s="603"/>
    </row>
    <row r="1279" spans="1:5" x14ac:dyDescent="0.3">
      <c r="A1279" s="635" t="s">
        <v>2764</v>
      </c>
      <c r="B1279" s="635">
        <v>28.01</v>
      </c>
      <c r="C1279" s="636">
        <v>7866</v>
      </c>
      <c r="D1279" s="636">
        <v>220326.66</v>
      </c>
      <c r="E1279" s="603"/>
    </row>
    <row r="1280" spans="1:5" x14ac:dyDescent="0.3">
      <c r="A1280" s="635" t="s">
        <v>2763</v>
      </c>
      <c r="B1280" s="635">
        <v>27.47</v>
      </c>
      <c r="C1280" s="636">
        <v>1800</v>
      </c>
      <c r="D1280" s="636">
        <v>49446</v>
      </c>
      <c r="E1280" s="603"/>
    </row>
    <row r="1281" spans="1:5" x14ac:dyDescent="0.3">
      <c r="A1281" s="635" t="s">
        <v>2762</v>
      </c>
      <c r="B1281" s="635">
        <v>27.46</v>
      </c>
      <c r="C1281" s="636">
        <v>1000</v>
      </c>
      <c r="D1281" s="636">
        <v>27460</v>
      </c>
      <c r="E1281" s="603"/>
    </row>
    <row r="1282" spans="1:5" x14ac:dyDescent="0.3">
      <c r="A1282" s="635" t="s">
        <v>2761</v>
      </c>
      <c r="B1282" s="635">
        <v>27.4</v>
      </c>
      <c r="C1282" s="636">
        <v>2151</v>
      </c>
      <c r="D1282" s="636">
        <v>58937.399999999987</v>
      </c>
      <c r="E1282" s="603"/>
    </row>
    <row r="1283" spans="1:5" x14ac:dyDescent="0.3">
      <c r="A1283" s="635" t="s">
        <v>2760</v>
      </c>
      <c r="B1283" s="635">
        <v>27.01</v>
      </c>
      <c r="C1283" s="636">
        <v>4090</v>
      </c>
      <c r="D1283" s="636">
        <v>110470.9</v>
      </c>
      <c r="E1283" s="603"/>
    </row>
    <row r="1284" spans="1:5" x14ac:dyDescent="0.3">
      <c r="A1284" s="635" t="s">
        <v>2759</v>
      </c>
      <c r="B1284" s="635">
        <v>26.53</v>
      </c>
      <c r="C1284" s="636">
        <v>152</v>
      </c>
      <c r="D1284" s="636">
        <v>4032.56</v>
      </c>
      <c r="E1284" s="603"/>
    </row>
    <row r="1285" spans="1:5" x14ac:dyDescent="0.3">
      <c r="A1285" s="635" t="s">
        <v>2758</v>
      </c>
      <c r="B1285" s="635">
        <v>27.9</v>
      </c>
      <c r="C1285" s="636">
        <v>514</v>
      </c>
      <c r="D1285" s="636">
        <v>14340.6</v>
      </c>
      <c r="E1285" s="603"/>
    </row>
    <row r="1286" spans="1:5" x14ac:dyDescent="0.3">
      <c r="A1286" s="635" t="s">
        <v>2757</v>
      </c>
      <c r="B1286" s="635">
        <v>27.76</v>
      </c>
      <c r="C1286" s="636">
        <v>2395</v>
      </c>
      <c r="D1286" s="636">
        <v>66485.2</v>
      </c>
      <c r="E1286" s="603"/>
    </row>
    <row r="1287" spans="1:5" x14ac:dyDescent="0.3">
      <c r="A1287" s="635" t="s">
        <v>2756</v>
      </c>
      <c r="B1287" s="635">
        <v>27.77</v>
      </c>
      <c r="C1287" s="636">
        <v>2491</v>
      </c>
      <c r="D1287" s="636">
        <v>69175.069999999992</v>
      </c>
      <c r="E1287" s="603"/>
    </row>
    <row r="1288" spans="1:5" x14ac:dyDescent="0.3">
      <c r="A1288" s="635" t="s">
        <v>2755</v>
      </c>
      <c r="B1288" s="635">
        <v>27.67</v>
      </c>
      <c r="C1288" s="636">
        <v>180</v>
      </c>
      <c r="D1288" s="636">
        <v>4980.6000000000004</v>
      </c>
      <c r="E1288" s="603"/>
    </row>
    <row r="1289" spans="1:5" x14ac:dyDescent="0.3">
      <c r="A1289" s="635" t="s">
        <v>2754</v>
      </c>
      <c r="B1289" s="635">
        <v>26.39</v>
      </c>
      <c r="C1289" s="636">
        <v>800</v>
      </c>
      <c r="D1289" s="636">
        <v>21112</v>
      </c>
      <c r="E1289" s="603"/>
    </row>
    <row r="1290" spans="1:5" x14ac:dyDescent="0.3">
      <c r="A1290" s="635" t="s">
        <v>2753</v>
      </c>
      <c r="B1290" s="635">
        <v>27.27</v>
      </c>
      <c r="C1290" s="636">
        <v>1159</v>
      </c>
      <c r="D1290" s="636">
        <v>31605.93</v>
      </c>
      <c r="E1290" s="603"/>
    </row>
    <row r="1291" spans="1:5" x14ac:dyDescent="0.3">
      <c r="A1291" s="635" t="s">
        <v>2752</v>
      </c>
      <c r="B1291" s="635">
        <v>27.19</v>
      </c>
      <c r="C1291" s="636">
        <v>420</v>
      </c>
      <c r="D1291" s="636">
        <v>11419.8</v>
      </c>
      <c r="E1291" s="603"/>
    </row>
    <row r="1292" spans="1:5" x14ac:dyDescent="0.3">
      <c r="A1292" s="635" t="s">
        <v>527</v>
      </c>
      <c r="B1292" s="635">
        <v>28.34</v>
      </c>
      <c r="C1292" s="636">
        <v>3207</v>
      </c>
      <c r="D1292" s="636">
        <v>90886.38</v>
      </c>
      <c r="E1292" s="603"/>
    </row>
    <row r="1293" spans="1:5" x14ac:dyDescent="0.3">
      <c r="A1293" s="635" t="s">
        <v>2751</v>
      </c>
      <c r="B1293" s="635">
        <v>28.08</v>
      </c>
      <c r="C1293" s="636">
        <v>1590</v>
      </c>
      <c r="D1293" s="636">
        <v>44647.199999999997</v>
      </c>
      <c r="E1293" s="603"/>
    </row>
    <row r="1294" spans="1:5" x14ac:dyDescent="0.3">
      <c r="A1294" s="635" t="s">
        <v>2750</v>
      </c>
      <c r="B1294" s="635">
        <v>27.69</v>
      </c>
      <c r="C1294" s="636">
        <v>3205</v>
      </c>
      <c r="D1294" s="636">
        <v>88746.45</v>
      </c>
      <c r="E1294" s="603"/>
    </row>
    <row r="1295" spans="1:5" x14ac:dyDescent="0.3">
      <c r="A1295" s="635" t="s">
        <v>2749</v>
      </c>
      <c r="B1295" s="635">
        <v>27.33</v>
      </c>
      <c r="C1295" s="636">
        <v>1892</v>
      </c>
      <c r="D1295" s="636">
        <v>51708.359999999993</v>
      </c>
      <c r="E1295" s="603"/>
    </row>
    <row r="1296" spans="1:5" x14ac:dyDescent="0.3">
      <c r="A1296" s="635" t="s">
        <v>2748</v>
      </c>
      <c r="B1296" s="635">
        <v>27.33</v>
      </c>
      <c r="C1296" s="636">
        <v>15</v>
      </c>
      <c r="D1296" s="636">
        <v>409.95</v>
      </c>
      <c r="E1296" s="603"/>
    </row>
    <row r="1297" spans="1:5" x14ac:dyDescent="0.3">
      <c r="A1297" s="635" t="s">
        <v>2747</v>
      </c>
      <c r="B1297" s="635">
        <v>27.65</v>
      </c>
      <c r="C1297" s="636">
        <v>187</v>
      </c>
      <c r="D1297" s="636">
        <v>5170.55</v>
      </c>
      <c r="E1297" s="603"/>
    </row>
    <row r="1298" spans="1:5" x14ac:dyDescent="0.3">
      <c r="A1298" s="635" t="s">
        <v>2746</v>
      </c>
      <c r="B1298" s="635">
        <v>27.81</v>
      </c>
      <c r="C1298" s="636">
        <v>930</v>
      </c>
      <c r="D1298" s="636">
        <v>25863.3</v>
      </c>
      <c r="E1298" s="603"/>
    </row>
    <row r="1299" spans="1:5" x14ac:dyDescent="0.3">
      <c r="A1299" s="635" t="s">
        <v>2745</v>
      </c>
      <c r="B1299" s="635">
        <v>28.61</v>
      </c>
      <c r="C1299" s="636">
        <v>12524</v>
      </c>
      <c r="D1299" s="636">
        <v>358311.64</v>
      </c>
      <c r="E1299" s="603"/>
    </row>
    <row r="1300" spans="1:5" x14ac:dyDescent="0.3">
      <c r="A1300" s="635" t="s">
        <v>2744</v>
      </c>
      <c r="B1300" s="635">
        <v>29.08</v>
      </c>
      <c r="C1300" s="636">
        <v>3139</v>
      </c>
      <c r="D1300" s="636">
        <v>91282.12</v>
      </c>
      <c r="E1300" s="603"/>
    </row>
    <row r="1301" spans="1:5" x14ac:dyDescent="0.3">
      <c r="A1301" s="635" t="s">
        <v>2743</v>
      </c>
      <c r="B1301" s="635">
        <v>28.9</v>
      </c>
      <c r="C1301" s="636">
        <v>3791</v>
      </c>
      <c r="D1301" s="636">
        <v>109559.9</v>
      </c>
      <c r="E1301" s="603"/>
    </row>
    <row r="1302" spans="1:5" x14ac:dyDescent="0.3">
      <c r="A1302" s="635" t="s">
        <v>2742</v>
      </c>
      <c r="B1302" s="635">
        <v>29.23</v>
      </c>
      <c r="C1302" s="636">
        <v>5263</v>
      </c>
      <c r="D1302" s="636">
        <v>153837.49</v>
      </c>
      <c r="E1302" s="603"/>
    </row>
    <row r="1303" spans="1:5" x14ac:dyDescent="0.3">
      <c r="A1303" s="635" t="s">
        <v>2741</v>
      </c>
      <c r="B1303" s="635">
        <v>28.78</v>
      </c>
      <c r="C1303" s="636">
        <v>3471</v>
      </c>
      <c r="D1303" s="636">
        <v>99895.38</v>
      </c>
      <c r="E1303" s="603"/>
    </row>
    <row r="1304" spans="1:5" x14ac:dyDescent="0.3">
      <c r="A1304" s="635" t="s">
        <v>2740</v>
      </c>
      <c r="B1304" s="635">
        <v>28.13</v>
      </c>
      <c r="C1304" s="636">
        <v>1830</v>
      </c>
      <c r="D1304" s="636">
        <v>51477.9</v>
      </c>
      <c r="E1304" s="603"/>
    </row>
    <row r="1305" spans="1:5" x14ac:dyDescent="0.3">
      <c r="A1305" s="635" t="s">
        <v>2739</v>
      </c>
      <c r="B1305" s="635">
        <v>27.8</v>
      </c>
      <c r="C1305" s="636">
        <v>1088</v>
      </c>
      <c r="D1305" s="636">
        <v>30246.400000000001</v>
      </c>
      <c r="E1305" s="603"/>
    </row>
    <row r="1306" spans="1:5" x14ac:dyDescent="0.3">
      <c r="A1306" s="635" t="s">
        <v>2738</v>
      </c>
      <c r="B1306" s="635">
        <v>27.85</v>
      </c>
      <c r="C1306" s="636">
        <v>460</v>
      </c>
      <c r="D1306" s="636">
        <v>12811</v>
      </c>
      <c r="E1306" s="603"/>
    </row>
    <row r="1307" spans="1:5" x14ac:dyDescent="0.3">
      <c r="A1307" s="635" t="s">
        <v>2737</v>
      </c>
      <c r="B1307" s="635">
        <v>27.52</v>
      </c>
      <c r="C1307" s="636">
        <v>577</v>
      </c>
      <c r="D1307" s="636">
        <v>15879.04</v>
      </c>
      <c r="E1307" s="603"/>
    </row>
    <row r="1308" spans="1:5" x14ac:dyDescent="0.3">
      <c r="A1308" s="635" t="s">
        <v>2736</v>
      </c>
      <c r="B1308" s="635">
        <v>27.06</v>
      </c>
      <c r="C1308" s="636">
        <v>2400</v>
      </c>
      <c r="D1308" s="636">
        <v>64944</v>
      </c>
      <c r="E1308" s="603"/>
    </row>
    <row r="1309" spans="1:5" x14ac:dyDescent="0.3">
      <c r="A1309" s="635" t="s">
        <v>2735</v>
      </c>
      <c r="B1309" s="635">
        <v>27.23</v>
      </c>
      <c r="C1309" s="636">
        <v>350</v>
      </c>
      <c r="D1309" s="636">
        <v>9530.5</v>
      </c>
      <c r="E1309" s="603"/>
    </row>
    <row r="1310" spans="1:5" x14ac:dyDescent="0.3">
      <c r="A1310" s="635" t="s">
        <v>2734</v>
      </c>
      <c r="B1310" s="635">
        <v>27.29</v>
      </c>
      <c r="C1310" s="636">
        <v>2902</v>
      </c>
      <c r="D1310" s="636">
        <v>79195.58</v>
      </c>
      <c r="E1310" s="603"/>
    </row>
    <row r="1311" spans="1:5" x14ac:dyDescent="0.3">
      <c r="A1311" s="635" t="s">
        <v>2733</v>
      </c>
      <c r="B1311" s="635">
        <v>28.21</v>
      </c>
      <c r="C1311" s="636">
        <v>1500</v>
      </c>
      <c r="D1311" s="636">
        <v>42315</v>
      </c>
      <c r="E1311" s="603"/>
    </row>
    <row r="1312" spans="1:5" x14ac:dyDescent="0.3">
      <c r="A1312" s="635" t="s">
        <v>528</v>
      </c>
      <c r="B1312" s="635">
        <v>27.7</v>
      </c>
      <c r="C1312" s="636">
        <v>100</v>
      </c>
      <c r="D1312" s="636">
        <v>2770</v>
      </c>
      <c r="E1312" s="603"/>
    </row>
    <row r="1313" spans="1:5" x14ac:dyDescent="0.3">
      <c r="A1313" s="635" t="s">
        <v>2732</v>
      </c>
      <c r="B1313" s="635">
        <v>26.62</v>
      </c>
      <c r="C1313" s="636">
        <v>3725</v>
      </c>
      <c r="D1313" s="636">
        <v>99159.5</v>
      </c>
      <c r="E1313" s="603"/>
    </row>
    <row r="1314" spans="1:5" x14ac:dyDescent="0.3">
      <c r="A1314" s="635" t="s">
        <v>2731</v>
      </c>
      <c r="B1314" s="635">
        <v>25.93</v>
      </c>
      <c r="C1314" s="636">
        <v>350</v>
      </c>
      <c r="D1314" s="636">
        <v>9075.5</v>
      </c>
      <c r="E1314" s="603"/>
    </row>
    <row r="1315" spans="1:5" x14ac:dyDescent="0.3">
      <c r="A1315" s="635" t="s">
        <v>2730</v>
      </c>
      <c r="B1315" s="635">
        <v>26.04</v>
      </c>
      <c r="C1315" s="636">
        <v>1400</v>
      </c>
      <c r="D1315" s="636">
        <v>36456</v>
      </c>
      <c r="E1315" s="603"/>
    </row>
    <row r="1316" spans="1:5" x14ac:dyDescent="0.3">
      <c r="A1316" s="635" t="s">
        <v>2729</v>
      </c>
      <c r="B1316" s="635">
        <v>26.82</v>
      </c>
      <c r="C1316" s="636">
        <v>915</v>
      </c>
      <c r="D1316" s="636">
        <v>24540.3</v>
      </c>
      <c r="E1316" s="603"/>
    </row>
    <row r="1317" spans="1:5" x14ac:dyDescent="0.3">
      <c r="A1317" s="635" t="s">
        <v>2728</v>
      </c>
      <c r="B1317" s="635">
        <v>26.45</v>
      </c>
      <c r="C1317" s="636">
        <v>300</v>
      </c>
      <c r="D1317" s="636">
        <v>7935</v>
      </c>
      <c r="E1317" s="603"/>
    </row>
    <row r="1318" spans="1:5" x14ac:dyDescent="0.3">
      <c r="A1318" s="635" t="s">
        <v>2727</v>
      </c>
      <c r="B1318" s="635">
        <v>27</v>
      </c>
      <c r="C1318" s="636">
        <v>2031</v>
      </c>
      <c r="D1318" s="636">
        <v>54837</v>
      </c>
      <c r="E1318" s="603"/>
    </row>
    <row r="1319" spans="1:5" x14ac:dyDescent="0.3">
      <c r="A1319" s="635" t="s">
        <v>2726</v>
      </c>
      <c r="B1319" s="635">
        <v>26.57</v>
      </c>
      <c r="C1319" s="636">
        <v>631</v>
      </c>
      <c r="D1319" s="636">
        <v>16765.669999999998</v>
      </c>
      <c r="E1319" s="603"/>
    </row>
    <row r="1320" spans="1:5" x14ac:dyDescent="0.3">
      <c r="A1320" s="635" t="s">
        <v>2725</v>
      </c>
      <c r="B1320" s="635">
        <v>26.39</v>
      </c>
      <c r="C1320" s="636">
        <v>1534</v>
      </c>
      <c r="D1320" s="636">
        <v>40482.26</v>
      </c>
      <c r="E1320" s="603"/>
    </row>
    <row r="1321" spans="1:5" x14ac:dyDescent="0.3">
      <c r="A1321" s="635" t="s">
        <v>2724</v>
      </c>
      <c r="B1321" s="635">
        <v>26.24</v>
      </c>
      <c r="C1321" s="636">
        <v>3050</v>
      </c>
      <c r="D1321" s="636">
        <v>80032</v>
      </c>
      <c r="E1321" s="603"/>
    </row>
    <row r="1322" spans="1:5" x14ac:dyDescent="0.3">
      <c r="A1322" s="635" t="s">
        <v>2723</v>
      </c>
      <c r="B1322" s="635">
        <v>26.14</v>
      </c>
      <c r="C1322" s="636">
        <v>1192</v>
      </c>
      <c r="D1322" s="636">
        <v>31158.880000000001</v>
      </c>
      <c r="E1322" s="603"/>
    </row>
    <row r="1323" spans="1:5" x14ac:dyDescent="0.3">
      <c r="A1323" s="635" t="s">
        <v>2722</v>
      </c>
      <c r="B1323" s="635">
        <v>25.96</v>
      </c>
      <c r="C1323" s="636">
        <v>4250</v>
      </c>
      <c r="D1323" s="636">
        <v>110330</v>
      </c>
      <c r="E1323" s="603"/>
    </row>
    <row r="1324" spans="1:5" x14ac:dyDescent="0.3">
      <c r="A1324" s="635" t="s">
        <v>2721</v>
      </c>
      <c r="B1324" s="635">
        <v>25.84</v>
      </c>
      <c r="C1324" s="636">
        <v>4656</v>
      </c>
      <c r="D1324" s="636">
        <v>120311.03999999999</v>
      </c>
      <c r="E1324" s="603"/>
    </row>
    <row r="1325" spans="1:5" x14ac:dyDescent="0.3">
      <c r="A1325" s="635" t="s">
        <v>2720</v>
      </c>
      <c r="B1325" s="635">
        <v>25.41</v>
      </c>
      <c r="C1325" s="636">
        <v>1000</v>
      </c>
      <c r="D1325" s="636">
        <v>25410</v>
      </c>
      <c r="E1325" s="603"/>
    </row>
    <row r="1326" spans="1:5" x14ac:dyDescent="0.3">
      <c r="A1326" s="635" t="s">
        <v>2719</v>
      </c>
      <c r="B1326" s="635">
        <v>25.72</v>
      </c>
      <c r="C1326" s="636">
        <v>193</v>
      </c>
      <c r="D1326" s="636">
        <v>4963.96</v>
      </c>
      <c r="E1326" s="603"/>
    </row>
    <row r="1327" spans="1:5" x14ac:dyDescent="0.3">
      <c r="A1327" s="635" t="s">
        <v>2718</v>
      </c>
      <c r="B1327" s="635">
        <v>25.66</v>
      </c>
      <c r="C1327" s="636">
        <v>1801</v>
      </c>
      <c r="D1327" s="636">
        <v>46213.66</v>
      </c>
      <c r="E1327" s="603"/>
    </row>
    <row r="1328" spans="1:5" x14ac:dyDescent="0.3">
      <c r="A1328" s="635" t="s">
        <v>2717</v>
      </c>
      <c r="B1328" s="635">
        <v>25.93</v>
      </c>
      <c r="C1328" s="636">
        <v>850</v>
      </c>
      <c r="D1328" s="636">
        <v>22040.5</v>
      </c>
      <c r="E1328" s="603"/>
    </row>
    <row r="1329" spans="1:5" x14ac:dyDescent="0.3">
      <c r="A1329" s="635" t="s">
        <v>2716</v>
      </c>
      <c r="B1329" s="635">
        <v>25.35</v>
      </c>
      <c r="C1329" s="636">
        <v>6056</v>
      </c>
      <c r="D1329" s="636">
        <v>153519.6</v>
      </c>
      <c r="E1329" s="603"/>
    </row>
    <row r="1330" spans="1:5" x14ac:dyDescent="0.3">
      <c r="A1330" s="635" t="s">
        <v>2715</v>
      </c>
      <c r="B1330" s="635">
        <v>25.01</v>
      </c>
      <c r="C1330" s="636">
        <v>7000</v>
      </c>
      <c r="D1330" s="636">
        <v>175070</v>
      </c>
      <c r="E1330" s="603"/>
    </row>
    <row r="1331" spans="1:5" x14ac:dyDescent="0.3">
      <c r="A1331" s="635" t="s">
        <v>2714</v>
      </c>
      <c r="B1331" s="635">
        <v>24.75</v>
      </c>
      <c r="C1331" s="636">
        <v>1592</v>
      </c>
      <c r="D1331" s="636">
        <v>39402</v>
      </c>
      <c r="E1331" s="603"/>
    </row>
    <row r="1332" spans="1:5" x14ac:dyDescent="0.3">
      <c r="A1332" s="635" t="s">
        <v>2713</v>
      </c>
      <c r="B1332" s="635">
        <v>24.41</v>
      </c>
      <c r="C1332" s="636">
        <v>1549</v>
      </c>
      <c r="D1332" s="636">
        <v>37811.089999999997</v>
      </c>
      <c r="E1332" s="603"/>
    </row>
    <row r="1333" spans="1:5" x14ac:dyDescent="0.3">
      <c r="A1333" s="635" t="s">
        <v>529</v>
      </c>
      <c r="B1333" s="635">
        <v>24.27</v>
      </c>
      <c r="C1333" s="636">
        <v>2605</v>
      </c>
      <c r="D1333" s="636">
        <v>63223.35</v>
      </c>
      <c r="E1333" s="603"/>
    </row>
    <row r="1334" spans="1:5" x14ac:dyDescent="0.3">
      <c r="A1334" s="635" t="s">
        <v>2712</v>
      </c>
      <c r="B1334" s="635">
        <v>24.89</v>
      </c>
      <c r="C1334" s="636">
        <v>1476</v>
      </c>
      <c r="D1334" s="636">
        <v>36737.64</v>
      </c>
      <c r="E1334" s="603"/>
    </row>
    <row r="1335" spans="1:5" x14ac:dyDescent="0.3">
      <c r="A1335" s="635" t="s">
        <v>2711</v>
      </c>
      <c r="B1335" s="635">
        <v>24.27</v>
      </c>
      <c r="C1335" s="636">
        <v>1543</v>
      </c>
      <c r="D1335" s="636">
        <v>37448.61</v>
      </c>
      <c r="E1335" s="603"/>
    </row>
    <row r="1336" spans="1:5" x14ac:dyDescent="0.3">
      <c r="A1336" s="635" t="s">
        <v>2710</v>
      </c>
      <c r="B1336" s="635">
        <v>24.84</v>
      </c>
      <c r="C1336" s="636">
        <v>1248</v>
      </c>
      <c r="D1336" s="636">
        <v>31000.32</v>
      </c>
      <c r="E1336" s="603"/>
    </row>
    <row r="1337" spans="1:5" x14ac:dyDescent="0.3">
      <c r="A1337" s="635" t="s">
        <v>2709</v>
      </c>
      <c r="B1337" s="635">
        <v>24.73</v>
      </c>
      <c r="C1337" s="636">
        <v>3072</v>
      </c>
      <c r="D1337" s="636">
        <v>75970.559999999998</v>
      </c>
      <c r="E1337" s="603"/>
    </row>
    <row r="1338" spans="1:5" x14ac:dyDescent="0.3">
      <c r="A1338" s="635" t="s">
        <v>2708</v>
      </c>
      <c r="B1338" s="635">
        <v>24.51</v>
      </c>
      <c r="C1338" s="636">
        <v>500</v>
      </c>
      <c r="D1338" s="636">
        <v>12255</v>
      </c>
      <c r="E1338" s="603"/>
    </row>
    <row r="1339" spans="1:5" x14ac:dyDescent="0.3">
      <c r="A1339" s="635" t="s">
        <v>2707</v>
      </c>
      <c r="B1339" s="635">
        <v>25.34</v>
      </c>
      <c r="C1339" s="636">
        <v>950</v>
      </c>
      <c r="D1339" s="636">
        <v>24073</v>
      </c>
      <c r="E1339" s="603"/>
    </row>
    <row r="1340" spans="1:5" x14ac:dyDescent="0.3">
      <c r="A1340" s="635" t="s">
        <v>2706</v>
      </c>
      <c r="B1340" s="635">
        <v>25.48</v>
      </c>
      <c r="C1340" s="636">
        <v>3681</v>
      </c>
      <c r="D1340" s="636">
        <v>93791.88</v>
      </c>
      <c r="E1340" s="603"/>
    </row>
    <row r="1341" spans="1:5" x14ac:dyDescent="0.3">
      <c r="A1341" s="635" t="s">
        <v>2705</v>
      </c>
      <c r="B1341" s="635">
        <v>26.01</v>
      </c>
      <c r="C1341" s="636">
        <v>885</v>
      </c>
      <c r="D1341" s="636">
        <v>23018.85</v>
      </c>
      <c r="E1341" s="603"/>
    </row>
    <row r="1342" spans="1:5" x14ac:dyDescent="0.3">
      <c r="A1342" s="635" t="s">
        <v>2704</v>
      </c>
      <c r="B1342" s="635">
        <v>26.49</v>
      </c>
      <c r="C1342" s="636">
        <v>1250</v>
      </c>
      <c r="D1342" s="636">
        <v>33112.5</v>
      </c>
      <c r="E1342" s="603"/>
    </row>
    <row r="1343" spans="1:5" x14ac:dyDescent="0.3">
      <c r="A1343" s="635" t="s">
        <v>2703</v>
      </c>
      <c r="B1343" s="635">
        <v>26.63</v>
      </c>
      <c r="C1343" s="636">
        <v>2000</v>
      </c>
      <c r="D1343" s="636">
        <v>53260</v>
      </c>
      <c r="E1343" s="603"/>
    </row>
    <row r="1344" spans="1:5" x14ac:dyDescent="0.3">
      <c r="A1344" s="635" t="s">
        <v>2702</v>
      </c>
      <c r="B1344" s="635">
        <v>26</v>
      </c>
      <c r="C1344" s="636">
        <v>530</v>
      </c>
      <c r="D1344" s="636">
        <v>13780</v>
      </c>
      <c r="E1344" s="603"/>
    </row>
    <row r="1345" spans="1:5" x14ac:dyDescent="0.3">
      <c r="A1345" s="635" t="s">
        <v>2701</v>
      </c>
      <c r="B1345" s="635">
        <v>25.86</v>
      </c>
      <c r="C1345" s="636">
        <v>1200</v>
      </c>
      <c r="D1345" s="636">
        <v>31032</v>
      </c>
      <c r="E1345" s="603"/>
    </row>
    <row r="1346" spans="1:5" x14ac:dyDescent="0.3">
      <c r="A1346" s="635" t="s">
        <v>2700</v>
      </c>
      <c r="B1346" s="635">
        <v>25.76</v>
      </c>
      <c r="C1346" s="636">
        <v>1070</v>
      </c>
      <c r="D1346" s="636">
        <v>27563.200000000001</v>
      </c>
      <c r="E1346" s="603"/>
    </row>
    <row r="1347" spans="1:5" x14ac:dyDescent="0.3">
      <c r="A1347" s="635" t="s">
        <v>2699</v>
      </c>
      <c r="B1347" s="635">
        <v>25.5</v>
      </c>
      <c r="C1347" s="636">
        <v>666</v>
      </c>
      <c r="D1347" s="636">
        <v>16983</v>
      </c>
      <c r="E1347" s="603"/>
    </row>
    <row r="1348" spans="1:5" x14ac:dyDescent="0.3">
      <c r="A1348" s="635" t="s">
        <v>2698</v>
      </c>
      <c r="B1348" s="635">
        <v>25.93</v>
      </c>
      <c r="C1348" s="636">
        <v>700</v>
      </c>
      <c r="D1348" s="636">
        <v>18151</v>
      </c>
      <c r="E1348" s="603"/>
    </row>
    <row r="1349" spans="1:5" x14ac:dyDescent="0.3">
      <c r="A1349" s="635" t="s">
        <v>2697</v>
      </c>
      <c r="B1349" s="635">
        <v>25.75</v>
      </c>
      <c r="C1349" s="636">
        <v>2541</v>
      </c>
      <c r="D1349" s="636">
        <v>65430.75</v>
      </c>
      <c r="E1349" s="603"/>
    </row>
    <row r="1350" spans="1:5" x14ac:dyDescent="0.3">
      <c r="A1350" s="635" t="s">
        <v>2696</v>
      </c>
      <c r="B1350" s="635">
        <v>25.88</v>
      </c>
      <c r="C1350" s="636">
        <v>500</v>
      </c>
      <c r="D1350" s="636">
        <v>12940</v>
      </c>
      <c r="E1350" s="603"/>
    </row>
    <row r="1351" spans="1:5" x14ac:dyDescent="0.3">
      <c r="A1351" s="635" t="s">
        <v>2695</v>
      </c>
      <c r="B1351" s="635">
        <v>25.88</v>
      </c>
      <c r="C1351" s="636">
        <v>200</v>
      </c>
      <c r="D1351" s="636">
        <v>5176</v>
      </c>
      <c r="E1351" s="603"/>
    </row>
    <row r="1352" spans="1:5" x14ac:dyDescent="0.3">
      <c r="A1352" s="635" t="s">
        <v>2694</v>
      </c>
      <c r="B1352" s="635">
        <v>25.66</v>
      </c>
      <c r="C1352" s="636">
        <v>1377</v>
      </c>
      <c r="D1352" s="636">
        <v>35333.82</v>
      </c>
      <c r="E1352" s="603"/>
    </row>
    <row r="1353" spans="1:5" x14ac:dyDescent="0.3">
      <c r="A1353" s="635" t="s">
        <v>2693</v>
      </c>
      <c r="B1353" s="635">
        <v>25.74</v>
      </c>
      <c r="C1353" s="636">
        <v>622</v>
      </c>
      <c r="D1353" s="636">
        <v>16010.28</v>
      </c>
      <c r="E1353" s="603"/>
    </row>
    <row r="1354" spans="1:5" x14ac:dyDescent="0.3">
      <c r="A1354" s="635" t="s">
        <v>530</v>
      </c>
      <c r="B1354" s="635">
        <v>25.77</v>
      </c>
      <c r="C1354" s="636">
        <v>1302</v>
      </c>
      <c r="D1354" s="636">
        <v>33552.54</v>
      </c>
      <c r="E1354" s="603"/>
    </row>
    <row r="1355" spans="1:5" x14ac:dyDescent="0.3">
      <c r="A1355" s="635" t="s">
        <v>2692</v>
      </c>
      <c r="B1355" s="635">
        <v>26</v>
      </c>
      <c r="C1355" s="636">
        <v>2322</v>
      </c>
      <c r="D1355" s="636">
        <v>60372</v>
      </c>
      <c r="E1355" s="603"/>
    </row>
    <row r="1356" spans="1:5" x14ac:dyDescent="0.3">
      <c r="A1356" s="635" t="s">
        <v>2691</v>
      </c>
      <c r="B1356" s="635">
        <v>26.34</v>
      </c>
      <c r="C1356" s="636">
        <v>630</v>
      </c>
      <c r="D1356" s="636">
        <v>16594.2</v>
      </c>
      <c r="E1356" s="603"/>
    </row>
    <row r="1357" spans="1:5" x14ac:dyDescent="0.3">
      <c r="A1357" s="635" t="s">
        <v>2690</v>
      </c>
      <c r="B1357" s="635">
        <v>26.4</v>
      </c>
      <c r="C1357" s="636">
        <v>1589</v>
      </c>
      <c r="D1357" s="636">
        <v>41949.599999999999</v>
      </c>
      <c r="E1357" s="603"/>
    </row>
    <row r="1358" spans="1:5" x14ac:dyDescent="0.3">
      <c r="A1358" s="635" t="s">
        <v>2689</v>
      </c>
      <c r="B1358" s="635">
        <v>26.12</v>
      </c>
      <c r="C1358" s="636">
        <v>1412</v>
      </c>
      <c r="D1358" s="636">
        <v>36881.440000000002</v>
      </c>
      <c r="E1358" s="603"/>
    </row>
    <row r="1359" spans="1:5" x14ac:dyDescent="0.3">
      <c r="A1359" s="635" t="s">
        <v>2688</v>
      </c>
      <c r="B1359" s="635">
        <v>26.08</v>
      </c>
      <c r="C1359" s="636">
        <v>546</v>
      </c>
      <c r="D1359" s="636">
        <v>14239.68</v>
      </c>
      <c r="E1359" s="603"/>
    </row>
    <row r="1360" spans="1:5" x14ac:dyDescent="0.3">
      <c r="A1360" s="635" t="s">
        <v>2687</v>
      </c>
      <c r="B1360" s="635">
        <v>26.51</v>
      </c>
      <c r="C1360" s="636">
        <v>2002</v>
      </c>
      <c r="D1360" s="636">
        <v>53073.02</v>
      </c>
      <c r="E1360" s="603"/>
    </row>
    <row r="1361" spans="1:5" x14ac:dyDescent="0.3">
      <c r="A1361" s="635" t="s">
        <v>2686</v>
      </c>
      <c r="B1361" s="635">
        <v>27.03</v>
      </c>
      <c r="C1361" s="636">
        <v>3801</v>
      </c>
      <c r="D1361" s="636">
        <v>102741.03</v>
      </c>
      <c r="E1361" s="603"/>
    </row>
    <row r="1362" spans="1:5" x14ac:dyDescent="0.3">
      <c r="A1362" s="635" t="s">
        <v>2685</v>
      </c>
      <c r="B1362" s="635">
        <v>26.76</v>
      </c>
      <c r="C1362" s="636">
        <v>5111</v>
      </c>
      <c r="D1362" s="636">
        <v>136770.35999999999</v>
      </c>
      <c r="E1362" s="603"/>
    </row>
    <row r="1363" spans="1:5" x14ac:dyDescent="0.3">
      <c r="A1363" s="635" t="s">
        <v>2684</v>
      </c>
      <c r="B1363" s="635">
        <v>26.72</v>
      </c>
      <c r="C1363" s="636">
        <v>2249</v>
      </c>
      <c r="D1363" s="636">
        <v>60093.279999999999</v>
      </c>
      <c r="E1363" s="603"/>
    </row>
    <row r="1364" spans="1:5" x14ac:dyDescent="0.3">
      <c r="A1364" s="635" t="s">
        <v>2683</v>
      </c>
      <c r="B1364" s="635">
        <v>27.04</v>
      </c>
      <c r="C1364" s="636">
        <v>949</v>
      </c>
      <c r="D1364" s="636">
        <v>25660.959999999999</v>
      </c>
      <c r="E1364" s="603"/>
    </row>
    <row r="1365" spans="1:5" x14ac:dyDescent="0.3">
      <c r="A1365" s="635" t="s">
        <v>2682</v>
      </c>
      <c r="B1365" s="635">
        <v>26.73</v>
      </c>
      <c r="C1365" s="636">
        <v>2949</v>
      </c>
      <c r="D1365" s="636">
        <v>78826.77</v>
      </c>
      <c r="E1365" s="603"/>
    </row>
    <row r="1366" spans="1:5" x14ac:dyDescent="0.3">
      <c r="A1366" s="635" t="s">
        <v>2681</v>
      </c>
      <c r="B1366" s="635">
        <v>26.94</v>
      </c>
      <c r="C1366" s="636">
        <v>3550</v>
      </c>
      <c r="D1366" s="636">
        <v>95637</v>
      </c>
      <c r="E1366" s="603"/>
    </row>
    <row r="1367" spans="1:5" x14ac:dyDescent="0.3">
      <c r="A1367" s="635" t="s">
        <v>2680</v>
      </c>
      <c r="B1367" s="635">
        <v>26.97</v>
      </c>
      <c r="C1367" s="636">
        <v>5357</v>
      </c>
      <c r="D1367" s="636">
        <v>144478.29</v>
      </c>
      <c r="E1367" s="603"/>
    </row>
    <row r="1368" spans="1:5" x14ac:dyDescent="0.3">
      <c r="A1368" s="635" t="s">
        <v>2679</v>
      </c>
      <c r="B1368" s="635">
        <v>27.42</v>
      </c>
      <c r="C1368" s="636">
        <v>9280</v>
      </c>
      <c r="D1368" s="636">
        <v>254457.60000000001</v>
      </c>
      <c r="E1368" s="603"/>
    </row>
    <row r="1369" spans="1:5" x14ac:dyDescent="0.3">
      <c r="A1369" s="635" t="s">
        <v>2678</v>
      </c>
      <c r="B1369" s="635">
        <v>27.63</v>
      </c>
      <c r="C1369" s="636">
        <v>10942</v>
      </c>
      <c r="D1369" s="636">
        <v>302327.46000000002</v>
      </c>
      <c r="E1369" s="603"/>
    </row>
    <row r="1370" spans="1:5" x14ac:dyDescent="0.3">
      <c r="A1370" s="635" t="s">
        <v>2677</v>
      </c>
      <c r="B1370" s="635">
        <v>25.13</v>
      </c>
      <c r="C1370" s="636">
        <v>5102</v>
      </c>
      <c r="D1370" s="636">
        <v>128213.26</v>
      </c>
      <c r="E1370" s="603"/>
    </row>
    <row r="1371" spans="1:5" x14ac:dyDescent="0.3">
      <c r="A1371" s="635" t="s">
        <v>2676</v>
      </c>
      <c r="B1371" s="635">
        <v>23.55</v>
      </c>
      <c r="C1371" s="636">
        <v>4944</v>
      </c>
      <c r="D1371" s="636">
        <v>116431.2</v>
      </c>
      <c r="E1371" s="603"/>
    </row>
    <row r="1372" spans="1:5" x14ac:dyDescent="0.3">
      <c r="A1372" s="635" t="s">
        <v>2675</v>
      </c>
      <c r="B1372" s="635">
        <v>23.79</v>
      </c>
      <c r="C1372" s="636">
        <v>1569</v>
      </c>
      <c r="D1372" s="636">
        <v>37326.51</v>
      </c>
      <c r="E1372" s="603"/>
    </row>
    <row r="1373" spans="1:5" x14ac:dyDescent="0.3">
      <c r="A1373" s="635" t="s">
        <v>531</v>
      </c>
      <c r="B1373" s="635">
        <v>23.22</v>
      </c>
      <c r="C1373" s="636">
        <v>3450</v>
      </c>
      <c r="D1373" s="636">
        <v>80109</v>
      </c>
      <c r="E1373" s="603"/>
    </row>
    <row r="1374" spans="1:5" x14ac:dyDescent="0.3">
      <c r="A1374" s="635" t="s">
        <v>2674</v>
      </c>
      <c r="B1374" s="635">
        <v>22.84</v>
      </c>
      <c r="C1374" s="636">
        <v>4260</v>
      </c>
      <c r="D1374" s="636">
        <v>97298.4</v>
      </c>
      <c r="E1374" s="603"/>
    </row>
    <row r="1375" spans="1:5" x14ac:dyDescent="0.3">
      <c r="A1375" s="635" t="s">
        <v>2673</v>
      </c>
      <c r="B1375" s="635">
        <v>21.53</v>
      </c>
      <c r="C1375" s="636">
        <v>3665</v>
      </c>
      <c r="D1375" s="636">
        <v>78907.45</v>
      </c>
      <c r="E1375" s="603"/>
    </row>
    <row r="1376" spans="1:5" x14ac:dyDescent="0.3">
      <c r="A1376" s="635" t="s">
        <v>2672</v>
      </c>
      <c r="B1376" s="635">
        <v>21.05</v>
      </c>
      <c r="C1376" s="636">
        <v>2398</v>
      </c>
      <c r="D1376" s="636">
        <v>50477.9</v>
      </c>
      <c r="E1376" s="603"/>
    </row>
    <row r="1377" spans="1:5" x14ac:dyDescent="0.3">
      <c r="A1377" s="635" t="s">
        <v>2671</v>
      </c>
      <c r="B1377" s="635">
        <v>21.1</v>
      </c>
      <c r="C1377" s="636">
        <v>1030</v>
      </c>
      <c r="D1377" s="636">
        <v>21733</v>
      </c>
      <c r="E1377" s="603"/>
    </row>
    <row r="1378" spans="1:5" x14ac:dyDescent="0.3">
      <c r="A1378" s="635" t="s">
        <v>2670</v>
      </c>
      <c r="B1378" s="635">
        <v>20.059999999999999</v>
      </c>
      <c r="C1378" s="636">
        <v>1162</v>
      </c>
      <c r="D1378" s="636">
        <v>23309.72</v>
      </c>
      <c r="E1378" s="603"/>
    </row>
    <row r="1379" spans="1:5" x14ac:dyDescent="0.3">
      <c r="A1379" s="635" t="s">
        <v>2669</v>
      </c>
      <c r="B1379" s="635">
        <v>19.05</v>
      </c>
      <c r="C1379" s="636">
        <v>2718</v>
      </c>
      <c r="D1379" s="636">
        <v>51777.9</v>
      </c>
      <c r="E1379" s="603"/>
    </row>
    <row r="1380" spans="1:5" x14ac:dyDescent="0.3">
      <c r="A1380" s="635" t="s">
        <v>2668</v>
      </c>
      <c r="B1380" s="635">
        <v>18.09</v>
      </c>
      <c r="C1380" s="636">
        <v>2491</v>
      </c>
      <c r="D1380" s="636">
        <v>45062.19</v>
      </c>
      <c r="E1380" s="603"/>
    </row>
    <row r="1381" spans="1:5" x14ac:dyDescent="0.3">
      <c r="A1381" s="635" t="s">
        <v>2667</v>
      </c>
      <c r="B1381" s="635">
        <v>17.13</v>
      </c>
      <c r="C1381" s="636">
        <v>1815</v>
      </c>
      <c r="D1381" s="636">
        <v>31090.95</v>
      </c>
      <c r="E1381" s="603"/>
    </row>
    <row r="1382" spans="1:5" x14ac:dyDescent="0.3">
      <c r="A1382" s="635" t="s">
        <v>2666</v>
      </c>
      <c r="B1382" s="635">
        <v>16.05</v>
      </c>
      <c r="C1382" s="636">
        <v>1899</v>
      </c>
      <c r="D1382" s="636">
        <v>30478.95</v>
      </c>
      <c r="E1382" s="603"/>
    </row>
    <row r="1383" spans="1:5" x14ac:dyDescent="0.3">
      <c r="A1383" s="635" t="s">
        <v>2665</v>
      </c>
      <c r="B1383" s="635">
        <v>17.3</v>
      </c>
      <c r="C1383" s="636">
        <v>1310</v>
      </c>
      <c r="D1383" s="636">
        <v>22663</v>
      </c>
      <c r="E1383" s="603"/>
    </row>
    <row r="1384" spans="1:5" x14ac:dyDescent="0.3">
      <c r="A1384" s="635" t="s">
        <v>2664</v>
      </c>
      <c r="B1384" s="635">
        <v>17.61</v>
      </c>
      <c r="C1384" s="636">
        <v>3150</v>
      </c>
      <c r="D1384" s="636">
        <v>55471.5</v>
      </c>
      <c r="E1384" s="603"/>
    </row>
    <row r="1385" spans="1:5" x14ac:dyDescent="0.3">
      <c r="A1385" s="635" t="s">
        <v>2663</v>
      </c>
      <c r="B1385" s="635">
        <v>17.25</v>
      </c>
      <c r="C1385" s="636">
        <v>100</v>
      </c>
      <c r="D1385" s="636">
        <v>1725</v>
      </c>
      <c r="E1385" s="603"/>
    </row>
    <row r="1386" spans="1:5" x14ac:dyDescent="0.3">
      <c r="A1386" s="635" t="s">
        <v>2662</v>
      </c>
      <c r="B1386" s="635">
        <v>17.010000000000002</v>
      </c>
      <c r="C1386" s="636">
        <v>500</v>
      </c>
      <c r="D1386" s="636">
        <v>8505</v>
      </c>
      <c r="E1386" s="603"/>
    </row>
    <row r="1387" spans="1:5" x14ac:dyDescent="0.3">
      <c r="A1387" s="635" t="s">
        <v>2661</v>
      </c>
      <c r="B1387" s="635">
        <v>16.739999999999998</v>
      </c>
      <c r="C1387" s="636">
        <v>907</v>
      </c>
      <c r="D1387" s="636">
        <v>15183.18</v>
      </c>
      <c r="E1387" s="603"/>
    </row>
    <row r="1388" spans="1:5" x14ac:dyDescent="0.3">
      <c r="A1388" s="635" t="s">
        <v>2660</v>
      </c>
      <c r="B1388" s="635">
        <v>17.75</v>
      </c>
      <c r="C1388" s="636">
        <v>700</v>
      </c>
      <c r="D1388" s="636">
        <v>12425</v>
      </c>
      <c r="E1388" s="603"/>
    </row>
    <row r="1389" spans="1:5" x14ac:dyDescent="0.3">
      <c r="A1389" s="635" t="s">
        <v>2659</v>
      </c>
      <c r="B1389" s="635">
        <v>17.45</v>
      </c>
      <c r="C1389" s="636">
        <v>1746</v>
      </c>
      <c r="D1389" s="636">
        <v>30467.7</v>
      </c>
      <c r="E1389" s="603"/>
    </row>
    <row r="1390" spans="1:5" x14ac:dyDescent="0.3">
      <c r="A1390" s="635" t="s">
        <v>2658</v>
      </c>
      <c r="B1390" s="635">
        <v>17.899999999999999</v>
      </c>
      <c r="C1390" s="636">
        <v>460</v>
      </c>
      <c r="D1390" s="636">
        <v>8234</v>
      </c>
      <c r="E1390" s="603"/>
    </row>
    <row r="1391" spans="1:5" x14ac:dyDescent="0.3">
      <c r="A1391" s="635" t="s">
        <v>2657</v>
      </c>
      <c r="B1391" s="635">
        <v>17.59</v>
      </c>
      <c r="C1391" s="636">
        <v>971</v>
      </c>
      <c r="D1391" s="636">
        <v>17079.89</v>
      </c>
      <c r="E1391" s="603"/>
    </row>
    <row r="1392" spans="1:5" x14ac:dyDescent="0.3">
      <c r="A1392" s="635" t="s">
        <v>2656</v>
      </c>
      <c r="B1392" s="635">
        <v>18.190000000000001</v>
      </c>
      <c r="C1392" s="636">
        <v>830</v>
      </c>
      <c r="D1392" s="636">
        <v>15097.7</v>
      </c>
      <c r="E1392" s="603"/>
    </row>
    <row r="1393" spans="1:5" x14ac:dyDescent="0.3">
      <c r="A1393" s="635" t="s">
        <v>532</v>
      </c>
      <c r="B1393" s="635">
        <v>18.850000000000001</v>
      </c>
      <c r="C1393" s="636">
        <v>10890</v>
      </c>
      <c r="D1393" s="636">
        <v>205276.5</v>
      </c>
      <c r="E1393" s="603"/>
    </row>
    <row r="1394" spans="1:5" x14ac:dyDescent="0.3">
      <c r="A1394" s="635" t="s">
        <v>2655</v>
      </c>
      <c r="B1394" s="635">
        <v>20.21</v>
      </c>
      <c r="C1394" s="636">
        <v>5155</v>
      </c>
      <c r="D1394" s="636">
        <v>104182.55</v>
      </c>
      <c r="E1394" s="603"/>
    </row>
    <row r="1395" spans="1:5" x14ac:dyDescent="0.3">
      <c r="A1395" s="635" t="s">
        <v>2654</v>
      </c>
      <c r="B1395" s="635">
        <v>22.22</v>
      </c>
      <c r="C1395" s="636">
        <v>4671</v>
      </c>
      <c r="D1395" s="636">
        <v>103789.62</v>
      </c>
      <c r="E1395" s="603"/>
    </row>
    <row r="1396" spans="1:5" x14ac:dyDescent="0.3">
      <c r="A1396" s="635" t="s">
        <v>2653</v>
      </c>
      <c r="B1396" s="635">
        <v>21.59</v>
      </c>
      <c r="C1396" s="636">
        <v>5897</v>
      </c>
      <c r="D1396" s="636">
        <v>127316.23</v>
      </c>
      <c r="E1396" s="603"/>
    </row>
    <row r="1397" spans="1:5" x14ac:dyDescent="0.3">
      <c r="A1397" s="635" t="s">
        <v>2652</v>
      </c>
      <c r="B1397" s="635">
        <v>21</v>
      </c>
      <c r="C1397" s="636">
        <v>2483</v>
      </c>
      <c r="D1397" s="636">
        <v>52143</v>
      </c>
      <c r="E1397" s="603"/>
    </row>
    <row r="1398" spans="1:5" x14ac:dyDescent="0.3">
      <c r="A1398" s="635" t="s">
        <v>2651</v>
      </c>
      <c r="B1398" s="635">
        <v>22.09</v>
      </c>
      <c r="C1398" s="636">
        <v>3640</v>
      </c>
      <c r="D1398" s="636">
        <v>80407.600000000006</v>
      </c>
      <c r="E1398" s="603"/>
    </row>
    <row r="1399" spans="1:5" x14ac:dyDescent="0.3">
      <c r="A1399" s="635" t="s">
        <v>2650</v>
      </c>
      <c r="B1399" s="635">
        <v>22.35</v>
      </c>
      <c r="C1399" s="636">
        <v>1626</v>
      </c>
      <c r="D1399" s="636">
        <v>36341.100000000013</v>
      </c>
      <c r="E1399" s="603"/>
    </row>
    <row r="1400" spans="1:5" x14ac:dyDescent="0.3">
      <c r="A1400" s="635" t="s">
        <v>2649</v>
      </c>
      <c r="B1400" s="635">
        <v>22</v>
      </c>
      <c r="C1400" s="636">
        <v>950</v>
      </c>
      <c r="D1400" s="636">
        <v>20900</v>
      </c>
      <c r="E1400" s="603"/>
    </row>
    <row r="1401" spans="1:5" x14ac:dyDescent="0.3">
      <c r="A1401" s="635" t="s">
        <v>2648</v>
      </c>
      <c r="B1401" s="635">
        <v>21.62</v>
      </c>
      <c r="C1401" s="636">
        <v>2750</v>
      </c>
      <c r="D1401" s="636">
        <v>59455</v>
      </c>
      <c r="E1401" s="603"/>
    </row>
    <row r="1402" spans="1:5" x14ac:dyDescent="0.3">
      <c r="A1402" s="635" t="s">
        <v>2647</v>
      </c>
      <c r="B1402" s="635">
        <v>22</v>
      </c>
      <c r="C1402" s="636">
        <v>808</v>
      </c>
      <c r="D1402" s="636">
        <v>17776</v>
      </c>
      <c r="E1402" s="603"/>
    </row>
    <row r="1403" spans="1:5" x14ac:dyDescent="0.3">
      <c r="A1403" s="635" t="s">
        <v>2646</v>
      </c>
      <c r="B1403" s="635">
        <v>22</v>
      </c>
      <c r="C1403" s="636">
        <v>700</v>
      </c>
      <c r="D1403" s="636">
        <v>15400</v>
      </c>
      <c r="E1403" s="603"/>
    </row>
    <row r="1404" spans="1:5" x14ac:dyDescent="0.3">
      <c r="A1404" s="635" t="s">
        <v>2645</v>
      </c>
      <c r="B1404" s="635">
        <v>22.85</v>
      </c>
      <c r="C1404" s="636">
        <v>1330</v>
      </c>
      <c r="D1404" s="636">
        <v>30390.5</v>
      </c>
      <c r="E1404" s="603"/>
    </row>
    <row r="1405" spans="1:5" x14ac:dyDescent="0.3">
      <c r="A1405" s="635" t="s">
        <v>2644</v>
      </c>
      <c r="B1405" s="635">
        <v>23.09</v>
      </c>
      <c r="C1405" s="636">
        <v>1250</v>
      </c>
      <c r="D1405" s="636">
        <v>28862.5</v>
      </c>
      <c r="E1405" s="603"/>
    </row>
    <row r="1406" spans="1:5" x14ac:dyDescent="0.3">
      <c r="A1406" s="635" t="s">
        <v>2643</v>
      </c>
      <c r="B1406" s="635">
        <v>24.47</v>
      </c>
      <c r="C1406" s="636">
        <v>2650</v>
      </c>
      <c r="D1406" s="636">
        <v>64845.5</v>
      </c>
      <c r="E1406" s="603"/>
    </row>
    <row r="1407" spans="1:5" x14ac:dyDescent="0.3">
      <c r="A1407" s="635" t="s">
        <v>2642</v>
      </c>
      <c r="B1407" s="635">
        <v>23.14</v>
      </c>
      <c r="C1407" s="636">
        <v>2912</v>
      </c>
      <c r="D1407" s="636">
        <v>67383.680000000008</v>
      </c>
      <c r="E1407" s="603"/>
    </row>
    <row r="1408" spans="1:5" x14ac:dyDescent="0.3">
      <c r="A1408" s="635" t="s">
        <v>2641</v>
      </c>
      <c r="B1408" s="635">
        <v>22.16</v>
      </c>
      <c r="C1408" s="636">
        <v>1200</v>
      </c>
      <c r="D1408" s="636">
        <v>26592</v>
      </c>
      <c r="E1408" s="603"/>
    </row>
    <row r="1409" spans="1:5" x14ac:dyDescent="0.3">
      <c r="A1409" s="635" t="s">
        <v>2640</v>
      </c>
      <c r="B1409" s="635">
        <v>23.66</v>
      </c>
      <c r="C1409" s="636">
        <v>669</v>
      </c>
      <c r="D1409" s="636">
        <v>15828.54</v>
      </c>
      <c r="E1409" s="603"/>
    </row>
    <row r="1410" spans="1:5" x14ac:dyDescent="0.3">
      <c r="A1410" s="635" t="s">
        <v>2639</v>
      </c>
      <c r="B1410" s="635">
        <v>23.5</v>
      </c>
      <c r="C1410" s="636">
        <v>300</v>
      </c>
      <c r="D1410" s="636">
        <v>7050</v>
      </c>
      <c r="E1410" s="603"/>
    </row>
    <row r="1411" spans="1:5" x14ac:dyDescent="0.3">
      <c r="A1411" s="635" t="s">
        <v>2638</v>
      </c>
      <c r="B1411" s="635">
        <v>23.73</v>
      </c>
      <c r="C1411" s="636">
        <v>470</v>
      </c>
      <c r="D1411" s="636">
        <v>11153.1</v>
      </c>
      <c r="E1411" s="603"/>
    </row>
    <row r="1412" spans="1:5" x14ac:dyDescent="0.3">
      <c r="A1412" s="635" t="s">
        <v>533</v>
      </c>
      <c r="B1412" s="635">
        <v>23.76</v>
      </c>
      <c r="C1412" s="636">
        <v>550</v>
      </c>
      <c r="D1412" s="636">
        <v>13068</v>
      </c>
      <c r="E1412" s="603"/>
    </row>
    <row r="1413" spans="1:5" x14ac:dyDescent="0.3">
      <c r="A1413" s="635" t="s">
        <v>2637</v>
      </c>
      <c r="B1413" s="635">
        <v>24.15</v>
      </c>
      <c r="C1413" s="636">
        <v>500</v>
      </c>
      <c r="D1413" s="636">
        <v>12075</v>
      </c>
      <c r="E1413" s="603"/>
    </row>
    <row r="1414" spans="1:5" x14ac:dyDescent="0.3">
      <c r="A1414" s="635" t="s">
        <v>2636</v>
      </c>
      <c r="B1414" s="635">
        <v>23.99</v>
      </c>
      <c r="C1414" s="636">
        <v>1500</v>
      </c>
      <c r="D1414" s="636">
        <v>35985</v>
      </c>
      <c r="E1414" s="603"/>
    </row>
    <row r="1415" spans="1:5" x14ac:dyDescent="0.3">
      <c r="A1415" s="635" t="s">
        <v>2635</v>
      </c>
      <c r="B1415" s="635">
        <v>24.71</v>
      </c>
      <c r="C1415" s="636">
        <v>1610</v>
      </c>
      <c r="D1415" s="636">
        <v>39783.1</v>
      </c>
      <c r="E1415" s="603"/>
    </row>
    <row r="1416" spans="1:5" x14ac:dyDescent="0.3">
      <c r="A1416" s="635" t="s">
        <v>2634</v>
      </c>
      <c r="B1416" s="635">
        <v>24.87</v>
      </c>
      <c r="C1416" s="636">
        <v>270</v>
      </c>
      <c r="D1416" s="636">
        <v>6714.9000000000005</v>
      </c>
      <c r="E1416" s="603"/>
    </row>
    <row r="1417" spans="1:5" x14ac:dyDescent="0.3">
      <c r="A1417" s="635" t="s">
        <v>2633</v>
      </c>
      <c r="B1417" s="635">
        <v>25.69</v>
      </c>
      <c r="C1417" s="636">
        <v>2700</v>
      </c>
      <c r="D1417" s="636">
        <v>69363</v>
      </c>
      <c r="E1417" s="603"/>
    </row>
    <row r="1418" spans="1:5" x14ac:dyDescent="0.3">
      <c r="A1418" s="635" t="s">
        <v>2632</v>
      </c>
      <c r="B1418" s="635">
        <v>26.04</v>
      </c>
      <c r="C1418" s="636">
        <v>2110</v>
      </c>
      <c r="D1418" s="636">
        <v>54944.4</v>
      </c>
      <c r="E1418" s="603"/>
    </row>
    <row r="1419" spans="1:5" x14ac:dyDescent="0.3">
      <c r="A1419" s="635" t="s">
        <v>2631</v>
      </c>
      <c r="B1419" s="635">
        <v>24.85</v>
      </c>
      <c r="C1419" s="636">
        <v>3282</v>
      </c>
      <c r="D1419" s="636">
        <v>81557.700000000012</v>
      </c>
      <c r="E1419" s="603"/>
    </row>
    <row r="1420" spans="1:5" x14ac:dyDescent="0.3">
      <c r="A1420" s="635" t="s">
        <v>2630</v>
      </c>
      <c r="B1420" s="635">
        <v>24.08</v>
      </c>
      <c r="C1420" s="636">
        <v>1578</v>
      </c>
      <c r="D1420" s="636">
        <v>37998.239999999998</v>
      </c>
      <c r="E1420" s="603"/>
    </row>
    <row r="1421" spans="1:5" x14ac:dyDescent="0.3">
      <c r="A1421" s="635" t="s">
        <v>2629</v>
      </c>
      <c r="B1421" s="635">
        <v>23.63</v>
      </c>
      <c r="C1421" s="636">
        <v>400</v>
      </c>
      <c r="D1421" s="636">
        <v>9452</v>
      </c>
      <c r="E1421" s="603"/>
    </row>
    <row r="1422" spans="1:5" x14ac:dyDescent="0.3">
      <c r="A1422" s="635" t="s">
        <v>2628</v>
      </c>
      <c r="B1422" s="635">
        <v>25.07</v>
      </c>
      <c r="C1422" s="636">
        <v>3805</v>
      </c>
      <c r="D1422" s="636">
        <v>95391.35</v>
      </c>
      <c r="E1422" s="603"/>
    </row>
    <row r="1423" spans="1:5" x14ac:dyDescent="0.3">
      <c r="A1423" s="635" t="s">
        <v>2627</v>
      </c>
      <c r="B1423" s="635">
        <v>24.73</v>
      </c>
      <c r="C1423" s="636">
        <v>830</v>
      </c>
      <c r="D1423" s="636">
        <v>20525.900000000001</v>
      </c>
      <c r="E1423" s="603"/>
    </row>
    <row r="1424" spans="1:5" x14ac:dyDescent="0.3">
      <c r="A1424" s="635" t="s">
        <v>2626</v>
      </c>
      <c r="B1424" s="635">
        <v>25.9</v>
      </c>
      <c r="C1424" s="636">
        <v>1870</v>
      </c>
      <c r="D1424" s="636">
        <v>48433</v>
      </c>
      <c r="E1424" s="603"/>
    </row>
    <row r="1425" spans="1:5" x14ac:dyDescent="0.3">
      <c r="A1425" s="635" t="s">
        <v>2625</v>
      </c>
      <c r="B1425" s="635">
        <v>25.13</v>
      </c>
      <c r="C1425" s="636">
        <v>2096</v>
      </c>
      <c r="D1425" s="636">
        <v>52672.480000000003</v>
      </c>
      <c r="E1425" s="603"/>
    </row>
    <row r="1426" spans="1:5" x14ac:dyDescent="0.3">
      <c r="A1426" s="635" t="s">
        <v>2624</v>
      </c>
      <c r="B1426" s="635">
        <v>25.13</v>
      </c>
      <c r="C1426" s="636">
        <v>3420</v>
      </c>
      <c r="D1426" s="636">
        <v>85944.599999999991</v>
      </c>
      <c r="E1426" s="603"/>
    </row>
    <row r="1427" spans="1:5" x14ac:dyDescent="0.3">
      <c r="A1427" s="635" t="s">
        <v>2623</v>
      </c>
      <c r="B1427" s="635">
        <v>24.66</v>
      </c>
      <c r="C1427" s="636">
        <v>200</v>
      </c>
      <c r="D1427" s="636">
        <v>4932</v>
      </c>
      <c r="E1427" s="603"/>
    </row>
    <row r="1428" spans="1:5" x14ac:dyDescent="0.3">
      <c r="A1428" s="635" t="s">
        <v>2622</v>
      </c>
      <c r="B1428" s="635">
        <v>24.5</v>
      </c>
      <c r="C1428" s="636">
        <v>300</v>
      </c>
      <c r="D1428" s="636">
        <v>7350</v>
      </c>
      <c r="E1428" s="603"/>
    </row>
    <row r="1429" spans="1:5" x14ac:dyDescent="0.3">
      <c r="A1429" s="635" t="s">
        <v>2621</v>
      </c>
      <c r="B1429" s="635">
        <v>24.19</v>
      </c>
      <c r="C1429" s="636">
        <v>1698</v>
      </c>
      <c r="D1429" s="636">
        <v>41074.620000000003</v>
      </c>
      <c r="E1429" s="603"/>
    </row>
    <row r="1430" spans="1:5" x14ac:dyDescent="0.3">
      <c r="A1430" s="635" t="s">
        <v>534</v>
      </c>
      <c r="B1430" s="635">
        <v>25.02</v>
      </c>
      <c r="C1430" s="636">
        <v>210</v>
      </c>
      <c r="D1430" s="636">
        <v>5254.2</v>
      </c>
      <c r="E1430" s="603"/>
    </row>
    <row r="1431" spans="1:5" x14ac:dyDescent="0.3">
      <c r="A1431" s="635" t="s">
        <v>2620</v>
      </c>
      <c r="B1431" s="635">
        <v>24</v>
      </c>
      <c r="C1431" s="636">
        <v>640</v>
      </c>
      <c r="D1431" s="636">
        <v>15360</v>
      </c>
      <c r="E1431" s="603"/>
    </row>
    <row r="1432" spans="1:5" x14ac:dyDescent="0.3">
      <c r="A1432" s="635" t="s">
        <v>2619</v>
      </c>
      <c r="B1432" s="635">
        <v>24</v>
      </c>
      <c r="C1432" s="636">
        <v>800</v>
      </c>
      <c r="D1432" s="636">
        <v>19200</v>
      </c>
      <c r="E1432" s="603"/>
    </row>
    <row r="1433" spans="1:5" x14ac:dyDescent="0.3">
      <c r="A1433" s="635" t="s">
        <v>2618</v>
      </c>
      <c r="B1433" s="635">
        <v>24.7</v>
      </c>
      <c r="C1433" s="636">
        <v>1390</v>
      </c>
      <c r="D1433" s="636">
        <v>34333</v>
      </c>
      <c r="E1433" s="603"/>
    </row>
    <row r="1434" spans="1:5" x14ac:dyDescent="0.3">
      <c r="A1434" s="635" t="s">
        <v>2617</v>
      </c>
      <c r="B1434" s="635">
        <v>24.7</v>
      </c>
      <c r="C1434" s="636">
        <v>1089</v>
      </c>
      <c r="D1434" s="636">
        <v>26898.3</v>
      </c>
      <c r="E1434" s="603"/>
    </row>
    <row r="1435" spans="1:5" x14ac:dyDescent="0.3">
      <c r="A1435" s="635" t="s">
        <v>2616</v>
      </c>
      <c r="B1435" s="635">
        <v>24.85</v>
      </c>
      <c r="C1435" s="636">
        <v>1766</v>
      </c>
      <c r="D1435" s="636">
        <v>43885.100000000013</v>
      </c>
      <c r="E1435" s="603"/>
    </row>
    <row r="1436" spans="1:5" x14ac:dyDescent="0.3">
      <c r="A1436" s="635" t="s">
        <v>2615</v>
      </c>
      <c r="B1436" s="635">
        <v>24.74</v>
      </c>
      <c r="C1436" s="636">
        <v>130</v>
      </c>
      <c r="D1436" s="636">
        <v>3216.2</v>
      </c>
      <c r="E1436" s="603"/>
    </row>
    <row r="1437" spans="1:5" x14ac:dyDescent="0.3">
      <c r="A1437" s="635" t="s">
        <v>2614</v>
      </c>
      <c r="B1437" s="635">
        <v>24.69</v>
      </c>
      <c r="C1437" s="636">
        <v>2591</v>
      </c>
      <c r="D1437" s="636">
        <v>63971.79</v>
      </c>
      <c r="E1437" s="603"/>
    </row>
    <row r="1438" spans="1:5" x14ac:dyDescent="0.3">
      <c r="A1438" s="635" t="s">
        <v>2613</v>
      </c>
      <c r="B1438" s="635">
        <v>24.46</v>
      </c>
      <c r="C1438" s="636">
        <v>250</v>
      </c>
      <c r="D1438" s="636">
        <v>6115</v>
      </c>
      <c r="E1438" s="603"/>
    </row>
    <row r="1439" spans="1:5" x14ac:dyDescent="0.3">
      <c r="A1439" s="635" t="s">
        <v>2612</v>
      </c>
      <c r="B1439" s="635">
        <v>25.11</v>
      </c>
      <c r="C1439" s="636">
        <v>700</v>
      </c>
      <c r="D1439" s="636">
        <v>17577</v>
      </c>
      <c r="E1439" s="603"/>
    </row>
    <row r="1440" spans="1:5" x14ac:dyDescent="0.3">
      <c r="A1440" s="635" t="s">
        <v>2611</v>
      </c>
      <c r="B1440" s="635">
        <v>25.11</v>
      </c>
      <c r="C1440" s="636">
        <v>8</v>
      </c>
      <c r="D1440" s="636">
        <v>200.88</v>
      </c>
      <c r="E1440" s="603"/>
    </row>
    <row r="1441" spans="1:5" x14ac:dyDescent="0.3">
      <c r="A1441" s="635" t="s">
        <v>2610</v>
      </c>
      <c r="B1441" s="635">
        <v>25.22</v>
      </c>
      <c r="C1441" s="636">
        <v>1088</v>
      </c>
      <c r="D1441" s="636">
        <v>27439.360000000001</v>
      </c>
      <c r="E1441" s="603"/>
    </row>
    <row r="1442" spans="1:5" x14ac:dyDescent="0.3">
      <c r="A1442" s="635" t="s">
        <v>2609</v>
      </c>
      <c r="B1442" s="635">
        <v>25.69</v>
      </c>
      <c r="C1442" s="636">
        <v>500</v>
      </c>
      <c r="D1442" s="636">
        <v>12845</v>
      </c>
      <c r="E1442" s="603"/>
    </row>
    <row r="1443" spans="1:5" x14ac:dyDescent="0.3">
      <c r="A1443" s="635" t="s">
        <v>2608</v>
      </c>
      <c r="B1443" s="635">
        <v>25.28</v>
      </c>
      <c r="C1443" s="636">
        <v>1504</v>
      </c>
      <c r="D1443" s="636">
        <v>38021.120000000003</v>
      </c>
      <c r="E1443" s="603"/>
    </row>
    <row r="1444" spans="1:5" x14ac:dyDescent="0.3">
      <c r="A1444" s="635" t="s">
        <v>535</v>
      </c>
      <c r="B1444" s="635">
        <v>26.08</v>
      </c>
      <c r="C1444" s="636">
        <v>2836</v>
      </c>
      <c r="D1444" s="636">
        <v>73962.87999999999</v>
      </c>
      <c r="E1444" s="603"/>
    </row>
    <row r="1445" spans="1:5" x14ac:dyDescent="0.3">
      <c r="A1445" s="635" t="s">
        <v>2607</v>
      </c>
      <c r="B1445" s="635">
        <v>26.97</v>
      </c>
      <c r="C1445" s="636">
        <v>575</v>
      </c>
      <c r="D1445" s="636">
        <v>15507.75</v>
      </c>
      <c r="E1445" s="603"/>
    </row>
    <row r="1446" spans="1:5" x14ac:dyDescent="0.3">
      <c r="A1446" s="635" t="s">
        <v>2606</v>
      </c>
      <c r="B1446" s="635">
        <v>25.95</v>
      </c>
      <c r="C1446" s="636">
        <v>1300</v>
      </c>
      <c r="D1446" s="636">
        <v>33735</v>
      </c>
      <c r="E1446" s="603"/>
    </row>
    <row r="1447" spans="1:5" x14ac:dyDescent="0.3">
      <c r="A1447" s="635" t="s">
        <v>2605</v>
      </c>
      <c r="B1447" s="635">
        <v>26.52</v>
      </c>
      <c r="C1447" s="636">
        <v>1960</v>
      </c>
      <c r="D1447" s="636">
        <v>51979.199999999997</v>
      </c>
      <c r="E1447" s="603"/>
    </row>
    <row r="1448" spans="1:5" x14ac:dyDescent="0.3">
      <c r="A1448" s="635" t="s">
        <v>2604</v>
      </c>
      <c r="B1448" s="635">
        <v>25.61</v>
      </c>
      <c r="C1448" s="636">
        <v>1278</v>
      </c>
      <c r="D1448" s="636">
        <v>32729.58</v>
      </c>
      <c r="E1448" s="603"/>
    </row>
    <row r="1449" spans="1:5" x14ac:dyDescent="0.3">
      <c r="A1449" s="635" t="s">
        <v>2603</v>
      </c>
      <c r="B1449" s="635">
        <v>25.66</v>
      </c>
      <c r="C1449" s="636">
        <v>1692</v>
      </c>
      <c r="D1449" s="636">
        <v>43416.72</v>
      </c>
      <c r="E1449" s="603"/>
    </row>
    <row r="1450" spans="1:5" x14ac:dyDescent="0.3">
      <c r="A1450" s="635" t="s">
        <v>2602</v>
      </c>
      <c r="B1450" s="635">
        <v>26.72</v>
      </c>
      <c r="C1450" s="636">
        <v>649</v>
      </c>
      <c r="D1450" s="636">
        <v>17341.28</v>
      </c>
      <c r="E1450" s="603"/>
    </row>
    <row r="1451" spans="1:5" x14ac:dyDescent="0.3">
      <c r="A1451" s="635" t="s">
        <v>2601</v>
      </c>
      <c r="B1451" s="635">
        <v>26.64</v>
      </c>
      <c r="C1451" s="636">
        <v>2158</v>
      </c>
      <c r="D1451" s="636">
        <v>57489.120000000003</v>
      </c>
      <c r="E1451" s="603"/>
    </row>
    <row r="1452" spans="1:5" x14ac:dyDescent="0.3">
      <c r="A1452" s="635" t="s">
        <v>2600</v>
      </c>
      <c r="B1452" s="635">
        <v>27.12</v>
      </c>
      <c r="C1452" s="636">
        <v>17290</v>
      </c>
      <c r="D1452" s="636">
        <v>468904.8</v>
      </c>
      <c r="E1452" s="603"/>
    </row>
    <row r="1453" spans="1:5" x14ac:dyDescent="0.3">
      <c r="A1453" s="635" t="s">
        <v>2599</v>
      </c>
      <c r="B1453" s="635">
        <v>27.76</v>
      </c>
      <c r="C1453" s="636">
        <v>2776</v>
      </c>
      <c r="D1453" s="636">
        <v>77061.760000000009</v>
      </c>
      <c r="E1453" s="603"/>
    </row>
    <row r="1454" spans="1:5" x14ac:dyDescent="0.3">
      <c r="A1454" s="635" t="s">
        <v>2598</v>
      </c>
      <c r="B1454" s="635">
        <v>27.69</v>
      </c>
      <c r="C1454" s="636">
        <v>1686</v>
      </c>
      <c r="D1454" s="636">
        <v>46685.34</v>
      </c>
      <c r="E1454" s="603"/>
    </row>
    <row r="1455" spans="1:5" x14ac:dyDescent="0.3">
      <c r="A1455" s="635" t="s">
        <v>2597</v>
      </c>
      <c r="B1455" s="635">
        <v>27</v>
      </c>
      <c r="C1455" s="636">
        <v>2336</v>
      </c>
      <c r="D1455" s="636">
        <v>63072</v>
      </c>
      <c r="E1455" s="603"/>
    </row>
    <row r="1456" spans="1:5" x14ac:dyDescent="0.3">
      <c r="A1456" s="635" t="s">
        <v>2596</v>
      </c>
      <c r="B1456" s="635">
        <v>26.87</v>
      </c>
      <c r="C1456" s="636">
        <v>4391</v>
      </c>
      <c r="D1456" s="636">
        <v>117986.17</v>
      </c>
      <c r="E1456" s="603"/>
    </row>
    <row r="1457" spans="1:5" x14ac:dyDescent="0.3">
      <c r="A1457" s="635" t="s">
        <v>2595</v>
      </c>
      <c r="B1457" s="635">
        <v>26.82</v>
      </c>
      <c r="C1457" s="636">
        <v>5262</v>
      </c>
      <c r="D1457" s="636">
        <v>141126.84</v>
      </c>
      <c r="E1457" s="603"/>
    </row>
    <row r="1458" spans="1:5" x14ac:dyDescent="0.3">
      <c r="A1458" s="635" t="s">
        <v>2594</v>
      </c>
      <c r="B1458" s="635">
        <v>26.16</v>
      </c>
      <c r="C1458" s="636">
        <v>2958</v>
      </c>
      <c r="D1458" s="636">
        <v>77381.279999999999</v>
      </c>
      <c r="E1458" s="603"/>
    </row>
    <row r="1459" spans="1:5" x14ac:dyDescent="0.3">
      <c r="A1459" s="635" t="s">
        <v>2593</v>
      </c>
      <c r="B1459" s="635">
        <v>26.66</v>
      </c>
      <c r="C1459" s="636">
        <v>4558</v>
      </c>
      <c r="D1459" s="636">
        <v>121516.28</v>
      </c>
      <c r="E1459" s="603"/>
    </row>
    <row r="1460" spans="1:5" x14ac:dyDescent="0.3">
      <c r="A1460" s="635" t="s">
        <v>2592</v>
      </c>
      <c r="B1460" s="635">
        <v>26.35</v>
      </c>
      <c r="C1460" s="636">
        <v>8458</v>
      </c>
      <c r="D1460" s="636">
        <v>222868.3</v>
      </c>
      <c r="E1460" s="603"/>
    </row>
    <row r="1461" spans="1:5" x14ac:dyDescent="0.3">
      <c r="A1461" s="635" t="s">
        <v>2591</v>
      </c>
      <c r="B1461" s="635">
        <v>26.59</v>
      </c>
      <c r="C1461" s="636">
        <v>1500</v>
      </c>
      <c r="D1461" s="636">
        <v>39885</v>
      </c>
      <c r="E1461" s="603"/>
    </row>
    <row r="1462" spans="1:5" x14ac:dyDescent="0.3">
      <c r="A1462" s="635" t="s">
        <v>536</v>
      </c>
      <c r="B1462" s="635">
        <v>27.37</v>
      </c>
      <c r="C1462" s="636">
        <v>400</v>
      </c>
      <c r="D1462" s="636">
        <v>10948</v>
      </c>
      <c r="E1462" s="603"/>
    </row>
    <row r="1463" spans="1:5" x14ac:dyDescent="0.3">
      <c r="A1463" s="635" t="s">
        <v>2590</v>
      </c>
      <c r="B1463" s="635">
        <v>27.28</v>
      </c>
      <c r="C1463" s="636">
        <v>1400</v>
      </c>
      <c r="D1463" s="636">
        <v>38192</v>
      </c>
      <c r="E1463" s="603"/>
    </row>
    <row r="1464" spans="1:5" x14ac:dyDescent="0.3">
      <c r="A1464" s="635" t="s">
        <v>2589</v>
      </c>
      <c r="B1464" s="635">
        <v>27.65</v>
      </c>
      <c r="C1464" s="636">
        <v>4018</v>
      </c>
      <c r="D1464" s="636">
        <v>111097.7</v>
      </c>
      <c r="E1464" s="603"/>
    </row>
    <row r="1465" spans="1:5" x14ac:dyDescent="0.3">
      <c r="A1465" s="635" t="s">
        <v>2588</v>
      </c>
      <c r="B1465" s="635">
        <v>27.22</v>
      </c>
      <c r="C1465" s="636">
        <v>1000</v>
      </c>
      <c r="D1465" s="636">
        <v>27220</v>
      </c>
      <c r="E1465" s="603"/>
    </row>
    <row r="1466" spans="1:5" x14ac:dyDescent="0.3">
      <c r="A1466" s="635" t="s">
        <v>2587</v>
      </c>
      <c r="B1466" s="635">
        <v>26.86</v>
      </c>
      <c r="C1466" s="636">
        <v>2224</v>
      </c>
      <c r="D1466" s="636">
        <v>59736.639999999999</v>
      </c>
      <c r="E1466" s="603"/>
    </row>
    <row r="1467" spans="1:5" x14ac:dyDescent="0.3">
      <c r="A1467" s="635" t="s">
        <v>2586</v>
      </c>
      <c r="B1467" s="635">
        <v>26.6</v>
      </c>
      <c r="C1467" s="636">
        <v>3665</v>
      </c>
      <c r="D1467" s="636">
        <v>97489</v>
      </c>
      <c r="E1467" s="603"/>
    </row>
    <row r="1468" spans="1:5" x14ac:dyDescent="0.3">
      <c r="A1468" s="635" t="s">
        <v>2585</v>
      </c>
      <c r="B1468" s="635">
        <v>26.54</v>
      </c>
      <c r="C1468" s="636">
        <v>1050</v>
      </c>
      <c r="D1468" s="636">
        <v>27867</v>
      </c>
      <c r="E1468" s="603"/>
    </row>
    <row r="1469" spans="1:5" x14ac:dyDescent="0.3">
      <c r="A1469" s="635" t="s">
        <v>2584</v>
      </c>
      <c r="B1469" s="635">
        <v>26.73</v>
      </c>
      <c r="C1469" s="636">
        <v>1311</v>
      </c>
      <c r="D1469" s="636">
        <v>35043.03</v>
      </c>
      <c r="E1469" s="603"/>
    </row>
    <row r="1470" spans="1:5" x14ac:dyDescent="0.3">
      <c r="A1470" s="635" t="s">
        <v>2583</v>
      </c>
      <c r="B1470" s="635">
        <v>26.37</v>
      </c>
      <c r="C1470" s="636">
        <v>6580</v>
      </c>
      <c r="D1470" s="636">
        <v>173514.6</v>
      </c>
      <c r="E1470" s="603"/>
    </row>
    <row r="1471" spans="1:5" x14ac:dyDescent="0.3">
      <c r="A1471" s="635" t="s">
        <v>2582</v>
      </c>
      <c r="B1471" s="635">
        <v>26.74</v>
      </c>
      <c r="C1471" s="636">
        <v>5393</v>
      </c>
      <c r="D1471" s="636">
        <v>144208.82</v>
      </c>
      <c r="E1471" s="603"/>
    </row>
    <row r="1472" spans="1:5" x14ac:dyDescent="0.3">
      <c r="A1472" s="635" t="s">
        <v>2581</v>
      </c>
      <c r="B1472" s="635">
        <v>26.3</v>
      </c>
      <c r="C1472" s="636">
        <v>2032</v>
      </c>
      <c r="D1472" s="636">
        <v>53441.599999999999</v>
      </c>
      <c r="E1472" s="603"/>
    </row>
    <row r="1473" spans="1:5" x14ac:dyDescent="0.3">
      <c r="A1473" s="635" t="s">
        <v>2580</v>
      </c>
      <c r="B1473" s="635">
        <v>26.8</v>
      </c>
      <c r="C1473" s="636">
        <v>1626</v>
      </c>
      <c r="D1473" s="636">
        <v>43576.800000000003</v>
      </c>
      <c r="E1473" s="603"/>
    </row>
    <row r="1474" spans="1:5" x14ac:dyDescent="0.3">
      <c r="A1474" s="635" t="s">
        <v>2579</v>
      </c>
      <c r="B1474" s="635">
        <v>26.28</v>
      </c>
      <c r="C1474" s="636">
        <v>250</v>
      </c>
      <c r="D1474" s="636">
        <v>6570</v>
      </c>
      <c r="E1474" s="603"/>
    </row>
    <row r="1475" spans="1:5" x14ac:dyDescent="0.3">
      <c r="A1475" s="635" t="s">
        <v>2578</v>
      </c>
      <c r="B1475" s="635">
        <v>26.59</v>
      </c>
      <c r="C1475" s="636">
        <v>1369</v>
      </c>
      <c r="D1475" s="636">
        <v>36401.71</v>
      </c>
      <c r="E1475" s="603"/>
    </row>
    <row r="1476" spans="1:5" x14ac:dyDescent="0.3">
      <c r="A1476" s="635" t="s">
        <v>2577</v>
      </c>
      <c r="B1476" s="635">
        <v>26.05</v>
      </c>
      <c r="C1476" s="636">
        <v>1800</v>
      </c>
      <c r="D1476" s="636">
        <v>46890</v>
      </c>
      <c r="E1476" s="603"/>
    </row>
    <row r="1477" spans="1:5" x14ac:dyDescent="0.3">
      <c r="A1477" s="635" t="s">
        <v>2576</v>
      </c>
      <c r="B1477" s="635">
        <v>25.46</v>
      </c>
      <c r="C1477" s="636">
        <v>4458</v>
      </c>
      <c r="D1477" s="636">
        <v>113500.68</v>
      </c>
      <c r="E1477" s="603"/>
    </row>
    <row r="1478" spans="1:5" x14ac:dyDescent="0.3">
      <c r="A1478" s="635" t="s">
        <v>2575</v>
      </c>
      <c r="B1478" s="635">
        <v>25.05</v>
      </c>
      <c r="C1478" s="636">
        <v>1600</v>
      </c>
      <c r="D1478" s="636">
        <v>40080</v>
      </c>
      <c r="E1478" s="603"/>
    </row>
    <row r="1479" spans="1:5" x14ac:dyDescent="0.3">
      <c r="A1479" s="635" t="s">
        <v>2574</v>
      </c>
      <c r="B1479" s="635">
        <v>25.31</v>
      </c>
      <c r="C1479" s="636">
        <v>2910</v>
      </c>
      <c r="D1479" s="636">
        <v>73652.099999999991</v>
      </c>
      <c r="E1479" s="603"/>
    </row>
    <row r="1480" spans="1:5" x14ac:dyDescent="0.3">
      <c r="A1480" s="635" t="s">
        <v>537</v>
      </c>
      <c r="B1480" s="635">
        <v>24.5</v>
      </c>
      <c r="C1480" s="636">
        <v>5250</v>
      </c>
      <c r="D1480" s="636">
        <v>128625</v>
      </c>
      <c r="E1480" s="603"/>
    </row>
    <row r="1481" spans="1:5" x14ac:dyDescent="0.3">
      <c r="A1481" s="635" t="s">
        <v>2573</v>
      </c>
      <c r="B1481" s="635">
        <v>24.24</v>
      </c>
      <c r="C1481" s="636">
        <v>1000</v>
      </c>
      <c r="D1481" s="636">
        <v>24240</v>
      </c>
      <c r="E1481" s="603"/>
    </row>
    <row r="1482" spans="1:5" x14ac:dyDescent="0.3">
      <c r="A1482" s="635" t="s">
        <v>2572</v>
      </c>
      <c r="B1482" s="635">
        <v>25</v>
      </c>
      <c r="C1482" s="636">
        <v>1000</v>
      </c>
      <c r="D1482" s="636">
        <v>25000</v>
      </c>
      <c r="E1482" s="603"/>
    </row>
    <row r="1483" spans="1:5" x14ac:dyDescent="0.3">
      <c r="A1483" s="635" t="s">
        <v>2571</v>
      </c>
      <c r="B1483" s="635">
        <v>25.47</v>
      </c>
      <c r="C1483" s="636">
        <v>970</v>
      </c>
      <c r="D1483" s="636">
        <v>24705.9</v>
      </c>
      <c r="E1483" s="603"/>
    </row>
    <row r="1484" spans="1:5" x14ac:dyDescent="0.3">
      <c r="A1484" s="635" t="s">
        <v>2570</v>
      </c>
      <c r="B1484" s="635">
        <v>25.44</v>
      </c>
      <c r="C1484" s="636">
        <v>2137</v>
      </c>
      <c r="D1484" s="636">
        <v>54365.280000000013</v>
      </c>
      <c r="E1484" s="603"/>
    </row>
    <row r="1485" spans="1:5" x14ac:dyDescent="0.3">
      <c r="A1485" s="635" t="s">
        <v>2569</v>
      </c>
      <c r="B1485" s="635">
        <v>24.98</v>
      </c>
      <c r="C1485" s="636">
        <v>1650</v>
      </c>
      <c r="D1485" s="636">
        <v>41217</v>
      </c>
      <c r="E1485" s="603"/>
    </row>
    <row r="1486" spans="1:5" x14ac:dyDescent="0.3">
      <c r="A1486" s="635" t="s">
        <v>2568</v>
      </c>
      <c r="B1486" s="635">
        <v>25.1</v>
      </c>
      <c r="C1486" s="636">
        <v>430</v>
      </c>
      <c r="D1486" s="636">
        <v>10793</v>
      </c>
      <c r="E1486" s="603"/>
    </row>
    <row r="1487" spans="1:5" x14ac:dyDescent="0.3">
      <c r="A1487" s="635" t="s">
        <v>2567</v>
      </c>
      <c r="B1487" s="635">
        <v>24.5</v>
      </c>
      <c r="C1487" s="636">
        <v>400</v>
      </c>
      <c r="D1487" s="636">
        <v>9800</v>
      </c>
      <c r="E1487" s="603"/>
    </row>
    <row r="1488" spans="1:5" x14ac:dyDescent="0.3">
      <c r="A1488" s="635" t="s">
        <v>2566</v>
      </c>
      <c r="B1488" s="635">
        <v>25.63</v>
      </c>
      <c r="C1488" s="636">
        <v>1792140</v>
      </c>
      <c r="D1488" s="636">
        <v>45932548.200000003</v>
      </c>
      <c r="E1488" s="603"/>
    </row>
    <row r="1489" spans="1:5" x14ac:dyDescent="0.3">
      <c r="A1489" s="635" t="s">
        <v>2565</v>
      </c>
      <c r="B1489" s="635">
        <v>25.95</v>
      </c>
      <c r="C1489" s="636">
        <v>955</v>
      </c>
      <c r="D1489" s="636">
        <v>24782.25</v>
      </c>
      <c r="E1489" s="603"/>
    </row>
    <row r="1490" spans="1:5" x14ac:dyDescent="0.3">
      <c r="A1490" s="635" t="s">
        <v>2564</v>
      </c>
      <c r="B1490" s="635">
        <v>25.99</v>
      </c>
      <c r="C1490" s="636">
        <v>1010</v>
      </c>
      <c r="D1490" s="636">
        <v>26249.9</v>
      </c>
      <c r="E1490" s="603"/>
    </row>
    <row r="1491" spans="1:5" x14ac:dyDescent="0.3">
      <c r="A1491" s="635" t="s">
        <v>2563</v>
      </c>
      <c r="B1491" s="635">
        <v>27.72</v>
      </c>
      <c r="C1491" s="636">
        <v>11281</v>
      </c>
      <c r="D1491" s="636">
        <v>312709.32</v>
      </c>
      <c r="E1491" s="603"/>
    </row>
    <row r="1492" spans="1:5" x14ac:dyDescent="0.3">
      <c r="A1492" s="635" t="s">
        <v>2562</v>
      </c>
      <c r="B1492" s="635">
        <v>27.42</v>
      </c>
      <c r="C1492" s="636">
        <v>7991</v>
      </c>
      <c r="D1492" s="636">
        <v>219113.22</v>
      </c>
      <c r="E1492" s="603"/>
    </row>
    <row r="1493" spans="1:5" x14ac:dyDescent="0.3">
      <c r="A1493" s="635" t="s">
        <v>2561</v>
      </c>
      <c r="B1493" s="635">
        <v>26.43</v>
      </c>
      <c r="C1493" s="636">
        <v>1020</v>
      </c>
      <c r="D1493" s="636">
        <v>26958.6</v>
      </c>
      <c r="E1493" s="603"/>
    </row>
    <row r="1494" spans="1:5" x14ac:dyDescent="0.3">
      <c r="A1494" s="635" t="s">
        <v>2560</v>
      </c>
      <c r="B1494" s="635">
        <v>26.1</v>
      </c>
      <c r="C1494" s="636">
        <v>7871</v>
      </c>
      <c r="D1494" s="636">
        <v>205433.1</v>
      </c>
      <c r="E1494" s="603"/>
    </row>
    <row r="1495" spans="1:5" x14ac:dyDescent="0.3">
      <c r="A1495" s="635" t="s">
        <v>2559</v>
      </c>
      <c r="B1495" s="635">
        <v>26</v>
      </c>
      <c r="C1495" s="636">
        <v>940</v>
      </c>
      <c r="D1495" s="636">
        <v>24440</v>
      </c>
      <c r="E1495" s="603"/>
    </row>
    <row r="1496" spans="1:5" x14ac:dyDescent="0.3">
      <c r="A1496" s="635" t="s">
        <v>2558</v>
      </c>
      <c r="B1496" s="635">
        <v>25.56</v>
      </c>
      <c r="C1496" s="636">
        <v>280</v>
      </c>
      <c r="D1496" s="636">
        <v>7156.7999999999993</v>
      </c>
      <c r="E1496" s="603"/>
    </row>
    <row r="1497" spans="1:5" x14ac:dyDescent="0.3">
      <c r="A1497" s="635" t="s">
        <v>2557</v>
      </c>
      <c r="B1497" s="635">
        <v>26.07</v>
      </c>
      <c r="C1497" s="636">
        <v>882</v>
      </c>
      <c r="D1497" s="636">
        <v>22993.74</v>
      </c>
      <c r="E1497" s="603"/>
    </row>
    <row r="1498" spans="1:5" x14ac:dyDescent="0.3">
      <c r="A1498" s="635" t="s">
        <v>2556</v>
      </c>
      <c r="B1498" s="635">
        <v>26.13</v>
      </c>
      <c r="C1498" s="636">
        <v>1388</v>
      </c>
      <c r="D1498" s="636">
        <v>36268.44</v>
      </c>
      <c r="E1498" s="603"/>
    </row>
    <row r="1499" spans="1:5" x14ac:dyDescent="0.3">
      <c r="A1499" s="635" t="s">
        <v>2555</v>
      </c>
      <c r="B1499" s="635">
        <v>25.65</v>
      </c>
      <c r="C1499" s="636">
        <v>600</v>
      </c>
      <c r="D1499" s="636">
        <v>15390</v>
      </c>
      <c r="E1499" s="603"/>
    </row>
    <row r="1500" spans="1:5" x14ac:dyDescent="0.3">
      <c r="A1500" s="635" t="s">
        <v>2554</v>
      </c>
      <c r="B1500" s="635">
        <v>25.65</v>
      </c>
      <c r="C1500" s="636">
        <v>65</v>
      </c>
      <c r="D1500" s="636">
        <v>1667.25</v>
      </c>
      <c r="E1500" s="603"/>
    </row>
    <row r="1501" spans="1:5" x14ac:dyDescent="0.3">
      <c r="A1501" s="635" t="s">
        <v>2553</v>
      </c>
      <c r="B1501" s="635">
        <v>26.1</v>
      </c>
      <c r="C1501" s="636">
        <v>2058</v>
      </c>
      <c r="D1501" s="636">
        <v>53713.8</v>
      </c>
      <c r="E1501" s="603"/>
    </row>
    <row r="1502" spans="1:5" x14ac:dyDescent="0.3">
      <c r="A1502" s="635" t="s">
        <v>538</v>
      </c>
      <c r="B1502" s="635">
        <v>25.7</v>
      </c>
      <c r="C1502" s="636">
        <v>500</v>
      </c>
      <c r="D1502" s="636">
        <v>12850</v>
      </c>
      <c r="E1502" s="603"/>
    </row>
    <row r="1503" spans="1:5" x14ac:dyDescent="0.3">
      <c r="A1503" s="635" t="s">
        <v>2552</v>
      </c>
      <c r="B1503" s="635">
        <v>25.95</v>
      </c>
      <c r="C1503" s="636">
        <v>1500</v>
      </c>
      <c r="D1503" s="636">
        <v>38925</v>
      </c>
      <c r="E1503" s="603"/>
    </row>
    <row r="1504" spans="1:5" x14ac:dyDescent="0.3">
      <c r="A1504" s="635" t="s">
        <v>2551</v>
      </c>
      <c r="B1504" s="635">
        <v>25.57</v>
      </c>
      <c r="C1504" s="636">
        <v>1200</v>
      </c>
      <c r="D1504" s="636">
        <v>30684</v>
      </c>
      <c r="E1504" s="603"/>
    </row>
    <row r="1505" spans="1:5" x14ac:dyDescent="0.3">
      <c r="A1505" s="635" t="s">
        <v>2550</v>
      </c>
      <c r="B1505" s="635">
        <v>25.78</v>
      </c>
      <c r="C1505" s="636">
        <v>600</v>
      </c>
      <c r="D1505" s="636">
        <v>15468</v>
      </c>
      <c r="E1505" s="603"/>
    </row>
    <row r="1506" spans="1:5" x14ac:dyDescent="0.3">
      <c r="A1506" s="635" t="s">
        <v>2549</v>
      </c>
      <c r="B1506" s="635">
        <v>26.05</v>
      </c>
      <c r="C1506" s="636">
        <v>446</v>
      </c>
      <c r="D1506" s="636">
        <v>11618.3</v>
      </c>
      <c r="E1506" s="603"/>
    </row>
    <row r="1507" spans="1:5" x14ac:dyDescent="0.3">
      <c r="A1507" s="635" t="s">
        <v>2548</v>
      </c>
      <c r="B1507" s="635">
        <v>25.99</v>
      </c>
      <c r="C1507" s="636">
        <v>1346</v>
      </c>
      <c r="D1507" s="636">
        <v>34982.54</v>
      </c>
      <c r="E1507" s="603"/>
    </row>
    <row r="1508" spans="1:5" x14ac:dyDescent="0.3">
      <c r="A1508" s="635" t="s">
        <v>2547</v>
      </c>
      <c r="B1508" s="635">
        <v>26.04</v>
      </c>
      <c r="C1508" s="636">
        <v>3610</v>
      </c>
      <c r="D1508" s="636">
        <v>94004.4</v>
      </c>
      <c r="E1508" s="603"/>
    </row>
    <row r="1509" spans="1:5" x14ac:dyDescent="0.3">
      <c r="A1509" s="635" t="s">
        <v>2546</v>
      </c>
      <c r="B1509" s="635">
        <v>25.82</v>
      </c>
      <c r="C1509" s="636">
        <v>650</v>
      </c>
      <c r="D1509" s="636">
        <v>16783</v>
      </c>
      <c r="E1509" s="603"/>
    </row>
    <row r="1510" spans="1:5" x14ac:dyDescent="0.3">
      <c r="A1510" s="635" t="s">
        <v>2545</v>
      </c>
      <c r="B1510" s="635">
        <v>25.82</v>
      </c>
      <c r="C1510" s="636">
        <v>630</v>
      </c>
      <c r="D1510" s="636">
        <v>16266.6</v>
      </c>
      <c r="E1510" s="603"/>
    </row>
    <row r="1511" spans="1:5" x14ac:dyDescent="0.3">
      <c r="A1511" s="635" t="s">
        <v>2544</v>
      </c>
      <c r="B1511" s="635">
        <v>25.69</v>
      </c>
      <c r="C1511" s="636">
        <v>2501</v>
      </c>
      <c r="D1511" s="636">
        <v>64250.69</v>
      </c>
      <c r="E1511" s="603"/>
    </row>
    <row r="1512" spans="1:5" x14ac:dyDescent="0.3">
      <c r="A1512" s="635" t="s">
        <v>2543</v>
      </c>
      <c r="B1512" s="635">
        <v>25.68</v>
      </c>
      <c r="C1512" s="636">
        <v>1127</v>
      </c>
      <c r="D1512" s="636">
        <v>28941.360000000001</v>
      </c>
      <c r="E1512" s="603"/>
    </row>
    <row r="1513" spans="1:5" x14ac:dyDescent="0.3">
      <c r="A1513" s="635" t="s">
        <v>2542</v>
      </c>
      <c r="B1513" s="635">
        <v>25.75</v>
      </c>
      <c r="C1513" s="636">
        <v>418</v>
      </c>
      <c r="D1513" s="636">
        <v>10763.5</v>
      </c>
      <c r="E1513" s="603"/>
    </row>
    <row r="1514" spans="1:5" x14ac:dyDescent="0.3">
      <c r="A1514" s="635" t="s">
        <v>2541</v>
      </c>
      <c r="B1514" s="635">
        <v>26.02</v>
      </c>
      <c r="C1514" s="636">
        <v>747</v>
      </c>
      <c r="D1514" s="636">
        <v>19436.939999999999</v>
      </c>
      <c r="E1514" s="603"/>
    </row>
    <row r="1515" spans="1:5" x14ac:dyDescent="0.3">
      <c r="A1515" s="635" t="s">
        <v>2540</v>
      </c>
      <c r="B1515" s="635">
        <v>26.02</v>
      </c>
      <c r="C1515" s="636">
        <v>338</v>
      </c>
      <c r="D1515" s="636">
        <v>8794.76</v>
      </c>
      <c r="E1515" s="603"/>
    </row>
    <row r="1516" spans="1:5" x14ac:dyDescent="0.3">
      <c r="A1516" s="635" t="s">
        <v>2539</v>
      </c>
      <c r="B1516" s="635">
        <v>26.49</v>
      </c>
      <c r="C1516" s="636">
        <v>165</v>
      </c>
      <c r="D1516" s="636">
        <v>4370.8499999999995</v>
      </c>
      <c r="E1516" s="603"/>
    </row>
    <row r="1517" spans="1:5" x14ac:dyDescent="0.3">
      <c r="A1517" s="635" t="s">
        <v>2538</v>
      </c>
      <c r="B1517" s="635">
        <v>26.02</v>
      </c>
      <c r="C1517" s="636">
        <v>13</v>
      </c>
      <c r="D1517" s="636">
        <v>338.26</v>
      </c>
      <c r="E1517" s="603"/>
    </row>
    <row r="1518" spans="1:5" x14ac:dyDescent="0.3">
      <c r="A1518" s="635" t="s">
        <v>2537</v>
      </c>
      <c r="B1518" s="635">
        <v>26.47</v>
      </c>
      <c r="C1518" s="636">
        <v>2206</v>
      </c>
      <c r="D1518" s="636">
        <v>58392.82</v>
      </c>
      <c r="E1518" s="603"/>
    </row>
    <row r="1519" spans="1:5" x14ac:dyDescent="0.3">
      <c r="A1519" s="635" t="s">
        <v>539</v>
      </c>
      <c r="B1519" s="635">
        <v>26.54</v>
      </c>
      <c r="C1519" s="636">
        <v>1529</v>
      </c>
      <c r="D1519" s="636">
        <v>40579.660000000003</v>
      </c>
      <c r="E1519" s="603"/>
    </row>
    <row r="1520" spans="1:5" x14ac:dyDescent="0.3">
      <c r="A1520" s="635" t="s">
        <v>2536</v>
      </c>
      <c r="B1520" s="635">
        <v>27.14</v>
      </c>
      <c r="C1520" s="636">
        <v>1600</v>
      </c>
      <c r="D1520" s="636">
        <v>43424</v>
      </c>
      <c r="E1520" s="603"/>
    </row>
    <row r="1521" spans="1:5" x14ac:dyDescent="0.3">
      <c r="A1521" s="635" t="s">
        <v>2535</v>
      </c>
      <c r="B1521" s="635">
        <v>27.14</v>
      </c>
      <c r="C1521" s="636">
        <v>2150</v>
      </c>
      <c r="D1521" s="636">
        <v>58351</v>
      </c>
      <c r="E1521" s="603"/>
    </row>
    <row r="1522" spans="1:5" x14ac:dyDescent="0.3">
      <c r="A1522" s="635" t="s">
        <v>2534</v>
      </c>
      <c r="B1522" s="635">
        <v>28.29</v>
      </c>
      <c r="C1522" s="636">
        <v>27500</v>
      </c>
      <c r="D1522" s="636">
        <v>777975</v>
      </c>
      <c r="E1522" s="603"/>
    </row>
    <row r="1523" spans="1:5" x14ac:dyDescent="0.3">
      <c r="A1523" s="635" t="s">
        <v>2533</v>
      </c>
      <c r="B1523" s="635">
        <v>28.79</v>
      </c>
      <c r="C1523" s="636">
        <v>24859</v>
      </c>
      <c r="D1523" s="636">
        <v>715690.61</v>
      </c>
      <c r="E1523" s="603"/>
    </row>
    <row r="1524" spans="1:5" x14ac:dyDescent="0.3">
      <c r="A1524" s="635" t="s">
        <v>2532</v>
      </c>
      <c r="B1524" s="635">
        <v>28.65</v>
      </c>
      <c r="C1524" s="636">
        <v>20108</v>
      </c>
      <c r="D1524" s="636">
        <v>576094.19999999995</v>
      </c>
      <c r="E1524" s="603"/>
    </row>
    <row r="1525" spans="1:5" x14ac:dyDescent="0.3">
      <c r="A1525" s="635" t="s">
        <v>2531</v>
      </c>
      <c r="B1525" s="635">
        <v>29.29</v>
      </c>
      <c r="C1525" s="636">
        <v>14600</v>
      </c>
      <c r="D1525" s="636">
        <v>427634</v>
      </c>
      <c r="E1525" s="603"/>
    </row>
    <row r="1526" spans="1:5" x14ac:dyDescent="0.3">
      <c r="A1526" s="635" t="s">
        <v>2530</v>
      </c>
      <c r="B1526" s="635">
        <v>29.07</v>
      </c>
      <c r="C1526" s="636">
        <v>7262</v>
      </c>
      <c r="D1526" s="636">
        <v>211106.34</v>
      </c>
      <c r="E1526" s="603"/>
    </row>
    <row r="1527" spans="1:5" x14ac:dyDescent="0.3">
      <c r="A1527" s="635" t="s">
        <v>2529</v>
      </c>
      <c r="B1527" s="635">
        <v>28.92</v>
      </c>
      <c r="C1527" s="636">
        <v>12259</v>
      </c>
      <c r="D1527" s="636">
        <v>354530.28</v>
      </c>
      <c r="E1527" s="603"/>
    </row>
    <row r="1528" spans="1:5" x14ac:dyDescent="0.3">
      <c r="A1528" s="635" t="s">
        <v>2528</v>
      </c>
      <c r="B1528" s="635">
        <v>28.41</v>
      </c>
      <c r="C1528" s="636">
        <v>3173</v>
      </c>
      <c r="D1528" s="636">
        <v>90144.930000000008</v>
      </c>
      <c r="E1528" s="603"/>
    </row>
    <row r="1529" spans="1:5" x14ac:dyDescent="0.3">
      <c r="A1529" s="635" t="s">
        <v>2527</v>
      </c>
      <c r="B1529" s="635">
        <v>28.9</v>
      </c>
      <c r="C1529" s="636">
        <v>6310</v>
      </c>
      <c r="D1529" s="636">
        <v>182359</v>
      </c>
      <c r="E1529" s="603"/>
    </row>
    <row r="1530" spans="1:5" x14ac:dyDescent="0.3">
      <c r="A1530" s="635" t="s">
        <v>2526</v>
      </c>
      <c r="B1530" s="635">
        <v>30.25</v>
      </c>
      <c r="C1530" s="636">
        <v>40321</v>
      </c>
      <c r="D1530" s="636">
        <v>1219710.25</v>
      </c>
      <c r="E1530" s="603"/>
    </row>
    <row r="1531" spans="1:5" x14ac:dyDescent="0.3">
      <c r="A1531" s="635" t="s">
        <v>2525</v>
      </c>
      <c r="B1531" s="635">
        <v>31.01</v>
      </c>
      <c r="C1531" s="636">
        <v>7537</v>
      </c>
      <c r="D1531" s="636">
        <v>233722.37</v>
      </c>
      <c r="E1531" s="603"/>
    </row>
    <row r="1532" spans="1:5" x14ac:dyDescent="0.3">
      <c r="A1532" s="635" t="s">
        <v>2524</v>
      </c>
      <c r="B1532" s="635">
        <v>30.38</v>
      </c>
      <c r="C1532" s="636">
        <v>8501</v>
      </c>
      <c r="D1532" s="636">
        <v>258260.38</v>
      </c>
      <c r="E1532" s="603"/>
    </row>
    <row r="1533" spans="1:5" x14ac:dyDescent="0.3">
      <c r="A1533" s="635" t="s">
        <v>2523</v>
      </c>
      <c r="B1533" s="635">
        <v>30.09</v>
      </c>
      <c r="C1533" s="636">
        <v>4985</v>
      </c>
      <c r="D1533" s="636">
        <v>149998.65</v>
      </c>
      <c r="E1533" s="603"/>
    </row>
    <row r="1534" spans="1:5" x14ac:dyDescent="0.3">
      <c r="A1534" s="635" t="s">
        <v>2522</v>
      </c>
      <c r="B1534" s="635">
        <v>29.54</v>
      </c>
      <c r="C1534" s="636">
        <v>10135</v>
      </c>
      <c r="D1534" s="636">
        <v>299387.90000000002</v>
      </c>
      <c r="E1534" s="603"/>
    </row>
    <row r="1535" spans="1:5" x14ac:dyDescent="0.3">
      <c r="A1535" s="635" t="s">
        <v>2521</v>
      </c>
      <c r="B1535" s="635">
        <v>28.75</v>
      </c>
      <c r="C1535" s="636">
        <v>5897</v>
      </c>
      <c r="D1535" s="636">
        <v>169538.75</v>
      </c>
      <c r="E1535" s="603"/>
    </row>
    <row r="1536" spans="1:5" x14ac:dyDescent="0.3">
      <c r="A1536" s="635" t="s">
        <v>2520</v>
      </c>
      <c r="B1536" s="635">
        <v>28.39</v>
      </c>
      <c r="C1536" s="636">
        <v>6406</v>
      </c>
      <c r="D1536" s="636">
        <v>181866.34</v>
      </c>
      <c r="E1536" s="603"/>
    </row>
    <row r="1537" spans="1:5" x14ac:dyDescent="0.3">
      <c r="A1537" s="635" t="s">
        <v>2519</v>
      </c>
      <c r="B1537" s="635">
        <v>29.39</v>
      </c>
      <c r="C1537" s="636">
        <v>6520</v>
      </c>
      <c r="D1537" s="636">
        <v>191622.8</v>
      </c>
      <c r="E1537" s="603"/>
    </row>
    <row r="1538" spans="1:5" x14ac:dyDescent="0.3">
      <c r="A1538" s="635" t="s">
        <v>2518</v>
      </c>
      <c r="B1538" s="635">
        <v>29.11</v>
      </c>
      <c r="C1538" s="636">
        <v>2643</v>
      </c>
      <c r="D1538" s="636">
        <v>76937.73</v>
      </c>
      <c r="E1538" s="603"/>
    </row>
    <row r="1539" spans="1:5" x14ac:dyDescent="0.3">
      <c r="A1539" s="635" t="s">
        <v>540</v>
      </c>
      <c r="B1539" s="635">
        <v>28.53</v>
      </c>
      <c r="C1539" s="636">
        <v>1796</v>
      </c>
      <c r="D1539" s="636">
        <v>51239.88</v>
      </c>
      <c r="E1539" s="603"/>
    </row>
    <row r="1540" spans="1:5" x14ac:dyDescent="0.3">
      <c r="A1540" s="635" t="s">
        <v>2517</v>
      </c>
      <c r="B1540" s="635">
        <v>28.19</v>
      </c>
      <c r="C1540" s="636">
        <v>6839</v>
      </c>
      <c r="D1540" s="636">
        <v>192791.41</v>
      </c>
      <c r="E1540" s="603"/>
    </row>
    <row r="1541" spans="1:5" x14ac:dyDescent="0.3">
      <c r="A1541" s="635" t="s">
        <v>2516</v>
      </c>
      <c r="B1541" s="635">
        <v>28.49</v>
      </c>
      <c r="C1541" s="636">
        <v>4975</v>
      </c>
      <c r="D1541" s="636">
        <v>141737.75</v>
      </c>
      <c r="E1541" s="603"/>
    </row>
    <row r="1542" spans="1:5" x14ac:dyDescent="0.3">
      <c r="A1542" s="635" t="s">
        <v>2515</v>
      </c>
      <c r="B1542" s="635">
        <v>28.76</v>
      </c>
      <c r="C1542" s="636">
        <v>500</v>
      </c>
      <c r="D1542" s="636">
        <v>14380</v>
      </c>
      <c r="E1542" s="603"/>
    </row>
    <row r="1543" spans="1:5" x14ac:dyDescent="0.3">
      <c r="A1543" s="635" t="s">
        <v>2514</v>
      </c>
      <c r="B1543" s="635">
        <v>28.22</v>
      </c>
      <c r="C1543" s="636">
        <v>600</v>
      </c>
      <c r="D1543" s="636">
        <v>16932</v>
      </c>
      <c r="E1543" s="603"/>
    </row>
    <row r="1544" spans="1:5" x14ac:dyDescent="0.3">
      <c r="A1544" s="635" t="s">
        <v>2513</v>
      </c>
      <c r="B1544" s="635">
        <v>28.61</v>
      </c>
      <c r="C1544" s="636">
        <v>962</v>
      </c>
      <c r="D1544" s="636">
        <v>27522.82</v>
      </c>
      <c r="E1544" s="603"/>
    </row>
    <row r="1545" spans="1:5" x14ac:dyDescent="0.3">
      <c r="A1545" s="635" t="s">
        <v>2512</v>
      </c>
      <c r="B1545" s="635">
        <v>28.63</v>
      </c>
      <c r="C1545" s="636">
        <v>5973</v>
      </c>
      <c r="D1545" s="636">
        <v>171006.99</v>
      </c>
      <c r="E1545" s="603"/>
    </row>
    <row r="1546" spans="1:5" x14ac:dyDescent="0.3">
      <c r="A1546" s="635" t="s">
        <v>2511</v>
      </c>
      <c r="B1546" s="635">
        <v>28.15</v>
      </c>
      <c r="C1546" s="636">
        <v>1175</v>
      </c>
      <c r="D1546" s="636">
        <v>33076.25</v>
      </c>
      <c r="E1546" s="603"/>
    </row>
    <row r="1547" spans="1:5" x14ac:dyDescent="0.3">
      <c r="A1547" s="635" t="s">
        <v>2510</v>
      </c>
      <c r="B1547" s="635">
        <v>28.24</v>
      </c>
      <c r="C1547" s="636">
        <v>1484</v>
      </c>
      <c r="D1547" s="636">
        <v>41908.160000000003</v>
      </c>
      <c r="E1547" s="603"/>
    </row>
    <row r="1548" spans="1:5" x14ac:dyDescent="0.3">
      <c r="A1548" s="635" t="s">
        <v>2509</v>
      </c>
      <c r="B1548" s="635">
        <v>28.2</v>
      </c>
      <c r="C1548" s="636">
        <v>100</v>
      </c>
      <c r="D1548" s="636">
        <v>2820</v>
      </c>
      <c r="E1548" s="603"/>
    </row>
    <row r="1549" spans="1:5" x14ac:dyDescent="0.3">
      <c r="A1549" s="635" t="s">
        <v>2508</v>
      </c>
      <c r="B1549" s="635">
        <v>29.35</v>
      </c>
      <c r="C1549" s="636">
        <v>3185</v>
      </c>
      <c r="D1549" s="636">
        <v>93479.75</v>
      </c>
      <c r="E1549" s="603"/>
    </row>
    <row r="1550" spans="1:5" x14ac:dyDescent="0.3">
      <c r="A1550" s="635" t="s">
        <v>2507</v>
      </c>
      <c r="B1550" s="635">
        <v>29.63</v>
      </c>
      <c r="C1550" s="636">
        <v>5981</v>
      </c>
      <c r="D1550" s="636">
        <v>177217.03</v>
      </c>
      <c r="E1550" s="603"/>
    </row>
    <row r="1551" spans="1:5" x14ac:dyDescent="0.3">
      <c r="A1551" s="635" t="s">
        <v>2506</v>
      </c>
      <c r="B1551" s="635">
        <v>29.58</v>
      </c>
      <c r="C1551" s="636">
        <v>1140</v>
      </c>
      <c r="D1551" s="636">
        <v>33721.199999999997</v>
      </c>
      <c r="E1551" s="603"/>
    </row>
    <row r="1552" spans="1:5" x14ac:dyDescent="0.3">
      <c r="A1552" s="635" t="s">
        <v>2505</v>
      </c>
      <c r="B1552" s="635">
        <v>29.01</v>
      </c>
      <c r="C1552" s="636">
        <v>2188</v>
      </c>
      <c r="D1552" s="636">
        <v>63473.88</v>
      </c>
      <c r="E1552" s="603"/>
    </row>
    <row r="1553" spans="1:5" x14ac:dyDescent="0.3">
      <c r="A1553" s="635" t="s">
        <v>2504</v>
      </c>
      <c r="B1553" s="635">
        <v>29.44</v>
      </c>
      <c r="C1553" s="636">
        <v>1557</v>
      </c>
      <c r="D1553" s="636">
        <v>45838.080000000002</v>
      </c>
      <c r="E1553" s="603"/>
    </row>
    <row r="1554" spans="1:5" x14ac:dyDescent="0.3">
      <c r="A1554" s="635" t="s">
        <v>2503</v>
      </c>
      <c r="B1554" s="635">
        <v>29.78</v>
      </c>
      <c r="C1554" s="636">
        <v>2606</v>
      </c>
      <c r="D1554" s="636">
        <v>77606.680000000008</v>
      </c>
      <c r="E1554" s="603"/>
    </row>
    <row r="1555" spans="1:5" x14ac:dyDescent="0.3">
      <c r="A1555" s="635" t="s">
        <v>2502</v>
      </c>
      <c r="B1555" s="635">
        <v>28.18</v>
      </c>
      <c r="C1555" s="636">
        <v>5435</v>
      </c>
      <c r="D1555" s="636">
        <v>153158.29999999999</v>
      </c>
      <c r="E1555" s="603"/>
    </row>
    <row r="1556" spans="1:5" x14ac:dyDescent="0.3">
      <c r="A1556" s="635" t="s">
        <v>2501</v>
      </c>
      <c r="B1556" s="635">
        <v>26.72</v>
      </c>
      <c r="C1556" s="636">
        <v>3139</v>
      </c>
      <c r="D1556" s="636">
        <v>83874.080000000002</v>
      </c>
      <c r="E1556" s="603"/>
    </row>
    <row r="1557" spans="1:5" x14ac:dyDescent="0.3">
      <c r="A1557" s="635" t="s">
        <v>541</v>
      </c>
      <c r="B1557" s="635">
        <v>24.9</v>
      </c>
      <c r="C1557" s="636">
        <v>1700</v>
      </c>
      <c r="D1557" s="636">
        <v>42330</v>
      </c>
      <c r="E1557" s="603"/>
    </row>
    <row r="1558" spans="1:5" x14ac:dyDescent="0.3">
      <c r="A1558" s="635" t="s">
        <v>2500</v>
      </c>
      <c r="B1558" s="635">
        <v>25.55</v>
      </c>
      <c r="C1558" s="636">
        <v>1150</v>
      </c>
      <c r="D1558" s="636">
        <v>29382.5</v>
      </c>
      <c r="E1558" s="603"/>
    </row>
    <row r="1559" spans="1:5" x14ac:dyDescent="0.3">
      <c r="A1559" s="635" t="s">
        <v>2499</v>
      </c>
      <c r="B1559" s="635">
        <v>25.75</v>
      </c>
      <c r="C1559" s="636">
        <v>686</v>
      </c>
      <c r="D1559" s="636">
        <v>17664.5</v>
      </c>
      <c r="E1559" s="603"/>
    </row>
    <row r="1560" spans="1:5" x14ac:dyDescent="0.3">
      <c r="A1560" s="635" t="s">
        <v>2498</v>
      </c>
      <c r="B1560" s="635">
        <v>25.06</v>
      </c>
      <c r="C1560" s="636">
        <v>1113</v>
      </c>
      <c r="D1560" s="636">
        <v>27891.78</v>
      </c>
      <c r="E1560" s="603"/>
    </row>
    <row r="1561" spans="1:5" x14ac:dyDescent="0.3">
      <c r="A1561" s="635" t="s">
        <v>2497</v>
      </c>
      <c r="B1561" s="635">
        <v>25.1</v>
      </c>
      <c r="C1561" s="636">
        <v>1855</v>
      </c>
      <c r="D1561" s="636">
        <v>46560.5</v>
      </c>
      <c r="E1561" s="603"/>
    </row>
    <row r="1562" spans="1:5" x14ac:dyDescent="0.3">
      <c r="A1562" s="635" t="s">
        <v>2496</v>
      </c>
      <c r="B1562" s="635">
        <v>25.47</v>
      </c>
      <c r="C1562" s="636">
        <v>1900</v>
      </c>
      <c r="D1562" s="636">
        <v>48393</v>
      </c>
      <c r="E1562" s="603"/>
    </row>
    <row r="1563" spans="1:5" x14ac:dyDescent="0.3">
      <c r="A1563" s="635" t="s">
        <v>2495</v>
      </c>
      <c r="B1563" s="635">
        <v>25.47</v>
      </c>
      <c r="C1563" s="636">
        <v>292</v>
      </c>
      <c r="D1563" s="636">
        <v>7437.24</v>
      </c>
      <c r="E1563" s="603"/>
    </row>
    <row r="1564" spans="1:5" x14ac:dyDescent="0.3">
      <c r="A1564" s="635" t="s">
        <v>2494</v>
      </c>
      <c r="B1564" s="635">
        <v>26.6</v>
      </c>
      <c r="C1564" s="636">
        <v>1030</v>
      </c>
      <c r="D1564" s="636">
        <v>27398</v>
      </c>
      <c r="E1564" s="603"/>
    </row>
    <row r="1565" spans="1:5" x14ac:dyDescent="0.3">
      <c r="A1565" s="635" t="s">
        <v>2493</v>
      </c>
      <c r="B1565" s="635">
        <v>26.16</v>
      </c>
      <c r="C1565" s="636">
        <v>906</v>
      </c>
      <c r="D1565" s="636">
        <v>23700.959999999999</v>
      </c>
      <c r="E1565" s="603"/>
    </row>
    <row r="1566" spans="1:5" x14ac:dyDescent="0.3">
      <c r="A1566" s="635" t="s">
        <v>2492</v>
      </c>
      <c r="B1566" s="635">
        <v>26.06</v>
      </c>
      <c r="C1566" s="636">
        <v>1005</v>
      </c>
      <c r="D1566" s="636">
        <v>26190.3</v>
      </c>
      <c r="E1566" s="603"/>
    </row>
    <row r="1567" spans="1:5" x14ac:dyDescent="0.3">
      <c r="A1567" s="635" t="s">
        <v>2491</v>
      </c>
      <c r="B1567" s="635">
        <v>26.68</v>
      </c>
      <c r="C1567" s="636">
        <v>640</v>
      </c>
      <c r="D1567" s="636">
        <v>17075.2</v>
      </c>
      <c r="E1567" s="603"/>
    </row>
    <row r="1568" spans="1:5" x14ac:dyDescent="0.3">
      <c r="A1568" s="635" t="s">
        <v>2490</v>
      </c>
      <c r="B1568" s="635">
        <v>26.61</v>
      </c>
      <c r="C1568" s="636">
        <v>1232</v>
      </c>
      <c r="D1568" s="636">
        <v>32783.519999999997</v>
      </c>
      <c r="E1568" s="603"/>
    </row>
    <row r="1569" spans="1:5" x14ac:dyDescent="0.3">
      <c r="A1569" s="635" t="s">
        <v>2489</v>
      </c>
      <c r="B1569" s="635">
        <v>27.03</v>
      </c>
      <c r="C1569" s="636">
        <v>1200</v>
      </c>
      <c r="D1569" s="636">
        <v>32436</v>
      </c>
      <c r="E1569" s="603"/>
    </row>
    <row r="1570" spans="1:5" x14ac:dyDescent="0.3">
      <c r="A1570" s="635" t="s">
        <v>2488</v>
      </c>
      <c r="B1570" s="635">
        <v>27.86</v>
      </c>
      <c r="C1570" s="636">
        <v>726</v>
      </c>
      <c r="D1570" s="636">
        <v>20226.36</v>
      </c>
      <c r="E1570" s="603"/>
    </row>
    <row r="1571" spans="1:5" x14ac:dyDescent="0.3">
      <c r="A1571" s="635" t="s">
        <v>2487</v>
      </c>
      <c r="B1571" s="635">
        <v>27.79</v>
      </c>
      <c r="C1571" s="636">
        <v>2001</v>
      </c>
      <c r="D1571" s="636">
        <v>55607.79</v>
      </c>
      <c r="E1571" s="603"/>
    </row>
    <row r="1572" spans="1:5" x14ac:dyDescent="0.3">
      <c r="A1572" s="635" t="s">
        <v>2486</v>
      </c>
      <c r="B1572" s="635">
        <v>28</v>
      </c>
      <c r="C1572" s="636">
        <v>405</v>
      </c>
      <c r="D1572" s="636">
        <v>11340</v>
      </c>
      <c r="E1572" s="603"/>
    </row>
    <row r="1573" spans="1:5" x14ac:dyDescent="0.3">
      <c r="A1573" s="635" t="s">
        <v>2485</v>
      </c>
      <c r="B1573" s="635">
        <v>27.71</v>
      </c>
      <c r="C1573" s="636">
        <v>483</v>
      </c>
      <c r="D1573" s="636">
        <v>13383.93</v>
      </c>
      <c r="E1573" s="603"/>
    </row>
    <row r="1574" spans="1:5" x14ac:dyDescent="0.3">
      <c r="A1574" s="635" t="s">
        <v>2484</v>
      </c>
      <c r="B1574" s="635">
        <v>27.31</v>
      </c>
      <c r="C1574" s="636">
        <v>1700</v>
      </c>
      <c r="D1574" s="636">
        <v>46427</v>
      </c>
      <c r="E1574" s="603"/>
    </row>
    <row r="1575" spans="1:5" x14ac:dyDescent="0.3">
      <c r="A1575" s="635" t="s">
        <v>2483</v>
      </c>
      <c r="B1575" s="635">
        <v>27.38</v>
      </c>
      <c r="C1575" s="636">
        <v>4300</v>
      </c>
      <c r="D1575" s="636">
        <v>117734</v>
      </c>
      <c r="E1575" s="603"/>
    </row>
    <row r="1576" spans="1:5" x14ac:dyDescent="0.3">
      <c r="A1576" s="635" t="s">
        <v>542</v>
      </c>
      <c r="B1576" s="635">
        <v>27.5</v>
      </c>
      <c r="C1576" s="636">
        <v>775</v>
      </c>
      <c r="D1576" s="636">
        <v>21312.5</v>
      </c>
      <c r="E1576" s="603"/>
    </row>
    <row r="1577" spans="1:5" x14ac:dyDescent="0.3">
      <c r="A1577" s="635" t="s">
        <v>2482</v>
      </c>
      <c r="B1577" s="635">
        <v>27.26</v>
      </c>
      <c r="C1577" s="636">
        <v>1117</v>
      </c>
      <c r="D1577" s="636">
        <v>30449.42</v>
      </c>
      <c r="E1577" s="603"/>
    </row>
    <row r="1578" spans="1:5" x14ac:dyDescent="0.3">
      <c r="A1578" s="635" t="s">
        <v>2481</v>
      </c>
      <c r="B1578" s="635">
        <v>27.5</v>
      </c>
      <c r="C1578" s="636">
        <v>400</v>
      </c>
      <c r="D1578" s="636">
        <v>11000</v>
      </c>
      <c r="E1578" s="603"/>
    </row>
    <row r="1579" spans="1:5" x14ac:dyDescent="0.3">
      <c r="A1579" s="635" t="s">
        <v>2480</v>
      </c>
      <c r="B1579" s="635">
        <v>27.57</v>
      </c>
      <c r="C1579" s="636">
        <v>862</v>
      </c>
      <c r="D1579" s="636">
        <v>23765.34</v>
      </c>
      <c r="E1579" s="603"/>
    </row>
    <row r="1580" spans="1:5" x14ac:dyDescent="0.3">
      <c r="A1580" s="635" t="s">
        <v>2479</v>
      </c>
      <c r="B1580" s="635">
        <v>27.31</v>
      </c>
      <c r="C1580" s="636">
        <v>1777</v>
      </c>
      <c r="D1580" s="636">
        <v>48529.87</v>
      </c>
      <c r="E1580" s="603"/>
    </row>
    <row r="1581" spans="1:5" x14ac:dyDescent="0.3">
      <c r="A1581" s="635" t="s">
        <v>2478</v>
      </c>
      <c r="B1581" s="635">
        <v>27.2</v>
      </c>
      <c r="C1581" s="636">
        <v>3335</v>
      </c>
      <c r="D1581" s="636">
        <v>90712</v>
      </c>
      <c r="E1581" s="603"/>
    </row>
    <row r="1582" spans="1:5" x14ac:dyDescent="0.3">
      <c r="A1582" s="635" t="s">
        <v>2477</v>
      </c>
      <c r="B1582" s="635">
        <v>27.25</v>
      </c>
      <c r="C1582" s="636">
        <v>153</v>
      </c>
      <c r="D1582" s="636">
        <v>4169.25</v>
      </c>
      <c r="E1582" s="603"/>
    </row>
    <row r="1583" spans="1:5" x14ac:dyDescent="0.3">
      <c r="A1583" s="635" t="s">
        <v>2476</v>
      </c>
      <c r="B1583" s="635">
        <v>27.92</v>
      </c>
      <c r="C1583" s="636">
        <v>600</v>
      </c>
      <c r="D1583" s="636">
        <v>16752</v>
      </c>
      <c r="E1583" s="603"/>
    </row>
    <row r="1584" spans="1:5" x14ac:dyDescent="0.3">
      <c r="A1584" s="635" t="s">
        <v>2475</v>
      </c>
      <c r="B1584" s="635">
        <v>27.92</v>
      </c>
      <c r="C1584" s="636">
        <v>1109</v>
      </c>
      <c r="D1584" s="636">
        <v>30963.279999999999</v>
      </c>
      <c r="E1584" s="603"/>
    </row>
    <row r="1585" spans="1:5" x14ac:dyDescent="0.3">
      <c r="A1585" s="635" t="s">
        <v>2474</v>
      </c>
      <c r="B1585" s="635">
        <v>27.54</v>
      </c>
      <c r="C1585" s="636">
        <v>1450</v>
      </c>
      <c r="D1585" s="636">
        <v>39933</v>
      </c>
      <c r="E1585" s="603"/>
    </row>
    <row r="1586" spans="1:5" x14ac:dyDescent="0.3">
      <c r="A1586" s="635" t="s">
        <v>2473</v>
      </c>
      <c r="B1586" s="635">
        <v>27.92</v>
      </c>
      <c r="C1586" s="636">
        <v>200</v>
      </c>
      <c r="D1586" s="636">
        <v>5584</v>
      </c>
      <c r="E1586" s="603"/>
    </row>
    <row r="1587" spans="1:5" x14ac:dyDescent="0.3">
      <c r="A1587" s="635" t="s">
        <v>2472</v>
      </c>
      <c r="B1587" s="635">
        <v>27.5</v>
      </c>
      <c r="C1587" s="636">
        <v>838</v>
      </c>
      <c r="D1587" s="636">
        <v>23045</v>
      </c>
      <c r="E1587" s="603"/>
    </row>
    <row r="1588" spans="1:5" x14ac:dyDescent="0.3">
      <c r="A1588" s="635" t="s">
        <v>2471</v>
      </c>
      <c r="B1588" s="635">
        <v>27.5</v>
      </c>
      <c r="C1588" s="636">
        <v>242869</v>
      </c>
      <c r="D1588" s="636">
        <v>6678897.5</v>
      </c>
      <c r="E1588" s="603"/>
    </row>
    <row r="1589" spans="1:5" x14ac:dyDescent="0.3">
      <c r="A1589" s="635" t="s">
        <v>2470</v>
      </c>
      <c r="B1589" s="635">
        <v>27.23</v>
      </c>
      <c r="C1589" s="636">
        <v>6899</v>
      </c>
      <c r="D1589" s="636">
        <v>187859.77</v>
      </c>
      <c r="E1589" s="603"/>
    </row>
    <row r="1590" spans="1:5" x14ac:dyDescent="0.3">
      <c r="A1590" s="635" t="s">
        <v>2469</v>
      </c>
      <c r="B1590" s="635">
        <v>26.4</v>
      </c>
      <c r="C1590" s="636">
        <v>19531</v>
      </c>
      <c r="D1590" s="636">
        <v>515618.4</v>
      </c>
      <c r="E1590" s="603"/>
    </row>
    <row r="1591" spans="1:5" x14ac:dyDescent="0.3">
      <c r="A1591" s="635" t="s">
        <v>2468</v>
      </c>
      <c r="B1591" s="635">
        <v>25.44</v>
      </c>
      <c r="C1591" s="636">
        <v>153658</v>
      </c>
      <c r="D1591" s="636">
        <v>3909059.52</v>
      </c>
      <c r="E1591" s="603"/>
    </row>
    <row r="1592" spans="1:5" x14ac:dyDescent="0.3">
      <c r="A1592" s="635" t="s">
        <v>2467</v>
      </c>
      <c r="B1592" s="635">
        <v>24</v>
      </c>
      <c r="C1592" s="636">
        <v>7973</v>
      </c>
      <c r="D1592" s="636">
        <v>191352</v>
      </c>
      <c r="E1592" s="603"/>
    </row>
    <row r="1593" spans="1:5" x14ac:dyDescent="0.3">
      <c r="A1593" s="635" t="s">
        <v>2466</v>
      </c>
      <c r="B1593" s="635">
        <v>22.44</v>
      </c>
      <c r="C1593" s="636">
        <v>21114</v>
      </c>
      <c r="D1593" s="636">
        <v>473798.16</v>
      </c>
      <c r="E1593" s="603"/>
    </row>
    <row r="1594" spans="1:5" x14ac:dyDescent="0.3">
      <c r="A1594" s="635" t="s">
        <v>543</v>
      </c>
      <c r="B1594" s="635">
        <v>20.89</v>
      </c>
      <c r="C1594" s="636">
        <v>6780</v>
      </c>
      <c r="D1594" s="636">
        <v>141634.20000000001</v>
      </c>
      <c r="E1594" s="603"/>
    </row>
    <row r="1595" spans="1:5" x14ac:dyDescent="0.3">
      <c r="A1595" s="635" t="s">
        <v>2465</v>
      </c>
      <c r="B1595" s="635">
        <v>21.14</v>
      </c>
      <c r="C1595" s="636">
        <v>18362</v>
      </c>
      <c r="D1595" s="636">
        <v>388172.68</v>
      </c>
      <c r="E1595" s="603"/>
    </row>
    <row r="1596" spans="1:5" x14ac:dyDescent="0.3">
      <c r="A1596" s="635" t="s">
        <v>2464</v>
      </c>
      <c r="B1596" s="635">
        <v>21.25</v>
      </c>
      <c r="C1596" s="636">
        <v>2696</v>
      </c>
      <c r="D1596" s="636">
        <v>57290</v>
      </c>
      <c r="E1596" s="603"/>
    </row>
    <row r="1597" spans="1:5" x14ac:dyDescent="0.3">
      <c r="A1597" s="635" t="s">
        <v>2463</v>
      </c>
      <c r="B1597" s="635">
        <v>21.83</v>
      </c>
      <c r="C1597" s="636">
        <v>4675</v>
      </c>
      <c r="D1597" s="636">
        <v>102055.25</v>
      </c>
      <c r="E1597" s="603"/>
    </row>
    <row r="1598" spans="1:5" x14ac:dyDescent="0.3">
      <c r="A1598" s="635" t="s">
        <v>2462</v>
      </c>
      <c r="B1598" s="635">
        <v>22.38</v>
      </c>
      <c r="C1598" s="636">
        <v>6240</v>
      </c>
      <c r="D1598" s="636">
        <v>139651.20000000001</v>
      </c>
      <c r="E1598" s="603"/>
    </row>
    <row r="1599" spans="1:5" x14ac:dyDescent="0.3">
      <c r="A1599" s="635" t="s">
        <v>2461</v>
      </c>
      <c r="B1599" s="635">
        <v>22.07</v>
      </c>
      <c r="C1599" s="636">
        <v>5350</v>
      </c>
      <c r="D1599" s="636">
        <v>118074.5</v>
      </c>
      <c r="E1599" s="603"/>
    </row>
    <row r="1600" spans="1:5" x14ac:dyDescent="0.3">
      <c r="A1600" s="635" t="s">
        <v>2460</v>
      </c>
      <c r="B1600" s="635">
        <v>22.29</v>
      </c>
      <c r="C1600" s="636">
        <v>1309</v>
      </c>
      <c r="D1600" s="636">
        <v>29177.61</v>
      </c>
      <c r="E1600" s="603"/>
    </row>
    <row r="1601" spans="1:5" x14ac:dyDescent="0.3">
      <c r="A1601" s="635" t="s">
        <v>2459</v>
      </c>
      <c r="B1601" s="635">
        <v>22.74</v>
      </c>
      <c r="C1601" s="636">
        <v>6790</v>
      </c>
      <c r="D1601" s="636">
        <v>154404.6</v>
      </c>
      <c r="E1601" s="603"/>
    </row>
    <row r="1602" spans="1:5" x14ac:dyDescent="0.3">
      <c r="A1602" s="635" t="s">
        <v>2458</v>
      </c>
      <c r="B1602" s="635">
        <v>22.86</v>
      </c>
      <c r="C1602" s="636">
        <v>2140</v>
      </c>
      <c r="D1602" s="636">
        <v>48920.4</v>
      </c>
      <c r="E1602" s="603"/>
    </row>
    <row r="1603" spans="1:5" x14ac:dyDescent="0.3">
      <c r="A1603" s="635" t="s">
        <v>2457</v>
      </c>
      <c r="B1603" s="635">
        <v>22.23</v>
      </c>
      <c r="C1603" s="636">
        <v>3000</v>
      </c>
      <c r="D1603" s="636">
        <v>66690</v>
      </c>
      <c r="E1603" s="603"/>
    </row>
    <row r="1604" spans="1:5" x14ac:dyDescent="0.3">
      <c r="A1604" s="635" t="s">
        <v>2456</v>
      </c>
      <c r="B1604" s="635">
        <v>22.01</v>
      </c>
      <c r="C1604" s="636">
        <v>2430</v>
      </c>
      <c r="D1604" s="636">
        <v>53484.3</v>
      </c>
      <c r="E1604" s="603"/>
    </row>
    <row r="1605" spans="1:5" x14ac:dyDescent="0.3">
      <c r="A1605" s="635" t="s">
        <v>2455</v>
      </c>
      <c r="B1605" s="635">
        <v>21.82</v>
      </c>
      <c r="C1605" s="636">
        <v>7624</v>
      </c>
      <c r="D1605" s="636">
        <v>166355.68</v>
      </c>
      <c r="E1605" s="603"/>
    </row>
    <row r="1606" spans="1:5" x14ac:dyDescent="0.3">
      <c r="A1606" s="635" t="s">
        <v>2454</v>
      </c>
      <c r="B1606" s="635">
        <v>22.4</v>
      </c>
      <c r="C1606" s="636">
        <v>7272</v>
      </c>
      <c r="D1606" s="636">
        <v>162892.79999999999</v>
      </c>
      <c r="E1606" s="603"/>
    </row>
    <row r="1607" spans="1:5" x14ac:dyDescent="0.3">
      <c r="A1607" s="635" t="s">
        <v>2453</v>
      </c>
      <c r="B1607" s="635">
        <v>22.74</v>
      </c>
      <c r="C1607" s="636">
        <v>5335</v>
      </c>
      <c r="D1607" s="636">
        <v>121317.9</v>
      </c>
      <c r="E1607" s="603"/>
    </row>
    <row r="1608" spans="1:5" x14ac:dyDescent="0.3">
      <c r="A1608" s="635" t="s">
        <v>2452</v>
      </c>
      <c r="B1608" s="635">
        <v>22.74</v>
      </c>
      <c r="C1608" s="636">
        <v>50</v>
      </c>
      <c r="D1608" s="636">
        <v>1137</v>
      </c>
      <c r="E1608" s="603"/>
    </row>
    <row r="1609" spans="1:5" x14ac:dyDescent="0.3">
      <c r="A1609" s="635" t="s">
        <v>2451</v>
      </c>
      <c r="B1609" s="635">
        <v>22.47</v>
      </c>
      <c r="C1609" s="636">
        <v>6050</v>
      </c>
      <c r="D1609" s="636">
        <v>135943.5</v>
      </c>
      <c r="E1609" s="603"/>
    </row>
    <row r="1610" spans="1:5" x14ac:dyDescent="0.3">
      <c r="A1610" s="635" t="s">
        <v>2450</v>
      </c>
      <c r="B1610" s="635">
        <v>21.62</v>
      </c>
      <c r="C1610" s="636">
        <v>2460</v>
      </c>
      <c r="D1610" s="636">
        <v>53185.2</v>
      </c>
      <c r="E1610" s="603"/>
    </row>
    <row r="1611" spans="1:5" x14ac:dyDescent="0.3">
      <c r="A1611" s="635" t="s">
        <v>2449</v>
      </c>
      <c r="B1611" s="635">
        <v>22</v>
      </c>
      <c r="C1611" s="636">
        <v>2307</v>
      </c>
      <c r="D1611" s="636">
        <v>50754</v>
      </c>
      <c r="E1611" s="603"/>
    </row>
    <row r="1612" spans="1:5" x14ac:dyDescent="0.3">
      <c r="A1612" s="635" t="s">
        <v>2448</v>
      </c>
      <c r="B1612" s="635">
        <v>22.01</v>
      </c>
      <c r="C1612" s="636">
        <v>576</v>
      </c>
      <c r="D1612" s="636">
        <v>12677.76</v>
      </c>
      <c r="E1612" s="603"/>
    </row>
    <row r="1613" spans="1:5" x14ac:dyDescent="0.3">
      <c r="A1613" s="635" t="s">
        <v>544</v>
      </c>
      <c r="B1613" s="635">
        <v>22.29</v>
      </c>
      <c r="C1613" s="636">
        <v>2360</v>
      </c>
      <c r="D1613" s="636">
        <v>52604.4</v>
      </c>
      <c r="E1613" s="603"/>
    </row>
    <row r="1614" spans="1:5" x14ac:dyDescent="0.3">
      <c r="A1614" s="635" t="s">
        <v>2447</v>
      </c>
      <c r="B1614" s="635">
        <v>22.85</v>
      </c>
      <c r="C1614" s="636">
        <v>1379</v>
      </c>
      <c r="D1614" s="636">
        <v>31510.15</v>
      </c>
      <c r="E1614" s="603"/>
    </row>
    <row r="1615" spans="1:5" x14ac:dyDescent="0.3">
      <c r="A1615" s="635" t="s">
        <v>2446</v>
      </c>
      <c r="B1615" s="635">
        <v>23.22</v>
      </c>
      <c r="C1615" s="636">
        <v>536</v>
      </c>
      <c r="D1615" s="636">
        <v>12445.92</v>
      </c>
      <c r="E1615" s="603"/>
    </row>
    <row r="1616" spans="1:5" x14ac:dyDescent="0.3">
      <c r="A1616" s="635" t="s">
        <v>2445</v>
      </c>
      <c r="B1616" s="635">
        <v>22.52</v>
      </c>
      <c r="C1616" s="636">
        <v>200</v>
      </c>
      <c r="D1616" s="636">
        <v>4504</v>
      </c>
      <c r="E1616" s="603"/>
    </row>
    <row r="1617" spans="1:5" x14ac:dyDescent="0.3">
      <c r="A1617" s="635" t="s">
        <v>2444</v>
      </c>
      <c r="B1617" s="635">
        <v>22.99</v>
      </c>
      <c r="C1617" s="636">
        <v>2450</v>
      </c>
      <c r="D1617" s="636">
        <v>56325.499999999993</v>
      </c>
      <c r="E1617" s="603"/>
    </row>
    <row r="1618" spans="1:5" x14ac:dyDescent="0.3">
      <c r="A1618" s="635" t="s">
        <v>2443</v>
      </c>
      <c r="B1618" s="635">
        <v>22.74</v>
      </c>
      <c r="C1618" s="636">
        <v>1766</v>
      </c>
      <c r="D1618" s="636">
        <v>40158.839999999997</v>
      </c>
      <c r="E1618" s="603"/>
    </row>
    <row r="1619" spans="1:5" x14ac:dyDescent="0.3">
      <c r="A1619" s="635" t="s">
        <v>2442</v>
      </c>
      <c r="B1619" s="635">
        <v>22.84</v>
      </c>
      <c r="C1619" s="636">
        <v>1180</v>
      </c>
      <c r="D1619" s="636">
        <v>26951.200000000001</v>
      </c>
      <c r="E1619" s="603"/>
    </row>
    <row r="1620" spans="1:5" x14ac:dyDescent="0.3">
      <c r="A1620" s="635" t="s">
        <v>2441</v>
      </c>
      <c r="B1620" s="635">
        <v>22.45</v>
      </c>
      <c r="C1620" s="636">
        <v>200</v>
      </c>
      <c r="D1620" s="636">
        <v>4490</v>
      </c>
      <c r="E1620" s="603"/>
    </row>
    <row r="1621" spans="1:5" x14ac:dyDescent="0.3">
      <c r="A1621" s="635" t="s">
        <v>2440</v>
      </c>
      <c r="B1621" s="635">
        <v>23.23</v>
      </c>
      <c r="C1621" s="636">
        <v>2000</v>
      </c>
      <c r="D1621" s="636">
        <v>46460</v>
      </c>
      <c r="E1621" s="603"/>
    </row>
    <row r="1622" spans="1:5" x14ac:dyDescent="0.3">
      <c r="A1622" s="635" t="s">
        <v>2439</v>
      </c>
      <c r="B1622" s="635">
        <v>22.5</v>
      </c>
      <c r="C1622" s="636">
        <v>600</v>
      </c>
      <c r="D1622" s="636">
        <v>13500</v>
      </c>
      <c r="E1622" s="603"/>
    </row>
    <row r="1623" spans="1:5" x14ac:dyDescent="0.3">
      <c r="A1623" s="635" t="s">
        <v>2438</v>
      </c>
      <c r="B1623" s="635">
        <v>22.71</v>
      </c>
      <c r="C1623" s="636">
        <v>1495</v>
      </c>
      <c r="D1623" s="636">
        <v>33951.449999999997</v>
      </c>
      <c r="E1623" s="603"/>
    </row>
    <row r="1624" spans="1:5" x14ac:dyDescent="0.3">
      <c r="A1624" s="635" t="s">
        <v>2437</v>
      </c>
      <c r="B1624" s="635">
        <v>23</v>
      </c>
      <c r="C1624" s="636">
        <v>500</v>
      </c>
      <c r="D1624" s="636">
        <v>11500</v>
      </c>
      <c r="E1624" s="603"/>
    </row>
    <row r="1625" spans="1:5" x14ac:dyDescent="0.3">
      <c r="A1625" s="635" t="s">
        <v>2436</v>
      </c>
      <c r="B1625" s="635">
        <v>22.69</v>
      </c>
      <c r="C1625" s="636">
        <v>4301</v>
      </c>
      <c r="D1625" s="636">
        <v>97589.69</v>
      </c>
      <c r="E1625" s="603"/>
    </row>
    <row r="1626" spans="1:5" x14ac:dyDescent="0.3">
      <c r="A1626" s="635" t="s">
        <v>2435</v>
      </c>
      <c r="B1626" s="635">
        <v>22.33</v>
      </c>
      <c r="C1626" s="636">
        <v>3895</v>
      </c>
      <c r="D1626" s="636">
        <v>86975.349999999991</v>
      </c>
      <c r="E1626" s="603"/>
    </row>
    <row r="1627" spans="1:5" x14ac:dyDescent="0.3">
      <c r="A1627" s="635" t="s">
        <v>545</v>
      </c>
      <c r="B1627" s="635">
        <v>22.87</v>
      </c>
      <c r="C1627" s="636">
        <v>2733</v>
      </c>
      <c r="D1627" s="636">
        <v>62503.71</v>
      </c>
      <c r="E1627" s="603"/>
    </row>
    <row r="1628" spans="1:5" x14ac:dyDescent="0.3">
      <c r="A1628" s="635" t="s">
        <v>2434</v>
      </c>
      <c r="B1628" s="635">
        <v>22.87</v>
      </c>
      <c r="C1628" s="636">
        <v>3450</v>
      </c>
      <c r="D1628" s="636">
        <v>78901.5</v>
      </c>
      <c r="E1628" s="603"/>
    </row>
    <row r="1629" spans="1:5" x14ac:dyDescent="0.3">
      <c r="A1629" s="635" t="s">
        <v>2433</v>
      </c>
      <c r="B1629" s="635">
        <v>22.99</v>
      </c>
      <c r="C1629" s="636">
        <v>1550</v>
      </c>
      <c r="D1629" s="636">
        <v>35634.5</v>
      </c>
      <c r="E1629" s="603"/>
    </row>
    <row r="1630" spans="1:5" x14ac:dyDescent="0.3">
      <c r="A1630" s="635" t="s">
        <v>2432</v>
      </c>
      <c r="B1630" s="635">
        <v>23.23</v>
      </c>
      <c r="C1630" s="636">
        <v>565</v>
      </c>
      <c r="D1630" s="636">
        <v>13124.95</v>
      </c>
      <c r="E1630" s="603"/>
    </row>
    <row r="1631" spans="1:5" x14ac:dyDescent="0.3">
      <c r="A1631" s="635" t="s">
        <v>2431</v>
      </c>
      <c r="B1631" s="635">
        <v>22.99</v>
      </c>
      <c r="C1631" s="636">
        <v>10451</v>
      </c>
      <c r="D1631" s="636">
        <v>240268.49</v>
      </c>
      <c r="E1631" s="603"/>
    </row>
    <row r="1632" spans="1:5" x14ac:dyDescent="0.3">
      <c r="A1632" s="635" t="s">
        <v>2430</v>
      </c>
      <c r="B1632" s="635">
        <v>23.23</v>
      </c>
      <c r="C1632" s="636">
        <v>565</v>
      </c>
      <c r="D1632" s="636">
        <v>13124.95</v>
      </c>
      <c r="E1632" s="603"/>
    </row>
    <row r="1633" spans="1:5" x14ac:dyDescent="0.3">
      <c r="A1633" s="635" t="s">
        <v>2429</v>
      </c>
      <c r="B1633" s="635">
        <v>23.27</v>
      </c>
      <c r="C1633" s="636">
        <v>3300</v>
      </c>
      <c r="D1633" s="636">
        <v>76791</v>
      </c>
      <c r="E1633" s="603"/>
    </row>
    <row r="1634" spans="1:5" x14ac:dyDescent="0.3">
      <c r="A1634" s="635" t="s">
        <v>2428</v>
      </c>
      <c r="B1634" s="635">
        <v>23.73</v>
      </c>
      <c r="C1634" s="636">
        <v>14987</v>
      </c>
      <c r="D1634" s="636">
        <v>355641.51</v>
      </c>
      <c r="E1634" s="603"/>
    </row>
    <row r="1635" spans="1:5" x14ac:dyDescent="0.3">
      <c r="A1635" s="635" t="s">
        <v>2427</v>
      </c>
      <c r="B1635" s="635">
        <v>23.84</v>
      </c>
      <c r="C1635" s="636">
        <v>6917</v>
      </c>
      <c r="D1635" s="636">
        <v>164901.28</v>
      </c>
      <c r="E1635" s="603"/>
    </row>
    <row r="1636" spans="1:5" x14ac:dyDescent="0.3">
      <c r="A1636" s="635" t="s">
        <v>2426</v>
      </c>
      <c r="B1636" s="635">
        <v>23.83</v>
      </c>
      <c r="C1636" s="636">
        <v>3305</v>
      </c>
      <c r="D1636" s="636">
        <v>78758.149999999994</v>
      </c>
      <c r="E1636" s="603"/>
    </row>
    <row r="1637" spans="1:5" x14ac:dyDescent="0.3">
      <c r="A1637" s="635" t="s">
        <v>2425</v>
      </c>
      <c r="B1637" s="635">
        <v>24.91</v>
      </c>
      <c r="C1637" s="636">
        <v>13256</v>
      </c>
      <c r="D1637" s="636">
        <v>330206.96000000002</v>
      </c>
      <c r="E1637" s="603"/>
    </row>
    <row r="1638" spans="1:5" x14ac:dyDescent="0.3">
      <c r="A1638" s="635" t="s">
        <v>2424</v>
      </c>
      <c r="B1638" s="635">
        <v>23.91</v>
      </c>
      <c r="C1638" s="636">
        <v>4683</v>
      </c>
      <c r="D1638" s="636">
        <v>111970.53</v>
      </c>
      <c r="E1638" s="603"/>
    </row>
    <row r="1639" spans="1:5" x14ac:dyDescent="0.3">
      <c r="A1639" s="635" t="s">
        <v>2423</v>
      </c>
      <c r="B1639" s="635">
        <v>24</v>
      </c>
      <c r="C1639" s="636">
        <v>5265</v>
      </c>
      <c r="D1639" s="636">
        <v>126360</v>
      </c>
      <c r="E1639" s="603"/>
    </row>
    <row r="1640" spans="1:5" x14ac:dyDescent="0.3">
      <c r="A1640" s="635" t="s">
        <v>2422</v>
      </c>
      <c r="B1640" s="635">
        <v>23.84</v>
      </c>
      <c r="C1640" s="636">
        <v>3080</v>
      </c>
      <c r="D1640" s="636">
        <v>73427.199999999997</v>
      </c>
      <c r="E1640" s="603"/>
    </row>
    <row r="1641" spans="1:5" x14ac:dyDescent="0.3">
      <c r="A1641" s="635" t="s">
        <v>2421</v>
      </c>
      <c r="B1641" s="635">
        <v>23.44</v>
      </c>
      <c r="C1641" s="636">
        <v>1666</v>
      </c>
      <c r="D1641" s="636">
        <v>39051.040000000001</v>
      </c>
      <c r="E1641" s="603"/>
    </row>
    <row r="1642" spans="1:5" x14ac:dyDescent="0.3">
      <c r="A1642" s="635" t="s">
        <v>2420</v>
      </c>
      <c r="B1642" s="635">
        <v>23.48</v>
      </c>
      <c r="C1642" s="636">
        <v>2004</v>
      </c>
      <c r="D1642" s="636">
        <v>47053.919999999998</v>
      </c>
      <c r="E1642" s="603"/>
    </row>
    <row r="1643" spans="1:5" x14ac:dyDescent="0.3">
      <c r="A1643" s="635" t="s">
        <v>2419</v>
      </c>
      <c r="B1643" s="635">
        <v>23.48</v>
      </c>
      <c r="C1643" s="636">
        <v>96</v>
      </c>
      <c r="D1643" s="636">
        <v>2254.08</v>
      </c>
      <c r="E1643" s="603"/>
    </row>
    <row r="1644" spans="1:5" x14ac:dyDescent="0.3">
      <c r="A1644" s="635" t="s">
        <v>2418</v>
      </c>
      <c r="B1644" s="635">
        <v>23.77</v>
      </c>
      <c r="C1644" s="636">
        <v>1746</v>
      </c>
      <c r="D1644" s="636">
        <v>41502.42</v>
      </c>
      <c r="E1644" s="603"/>
    </row>
    <row r="1645" spans="1:5" x14ac:dyDescent="0.3">
      <c r="A1645" s="635" t="s">
        <v>2417</v>
      </c>
      <c r="B1645" s="635">
        <v>23.99</v>
      </c>
      <c r="C1645" s="636">
        <v>3577</v>
      </c>
      <c r="D1645" s="636">
        <v>85812.23</v>
      </c>
      <c r="E1645" s="603"/>
    </row>
    <row r="1646" spans="1:5" x14ac:dyDescent="0.3">
      <c r="A1646" s="635" t="s">
        <v>2416</v>
      </c>
      <c r="B1646" s="635">
        <v>23.98</v>
      </c>
      <c r="C1646" s="636">
        <v>2755</v>
      </c>
      <c r="D1646" s="636">
        <v>66064.899999999994</v>
      </c>
      <c r="E1646" s="603"/>
    </row>
    <row r="1647" spans="1:5" x14ac:dyDescent="0.3">
      <c r="A1647" s="635" t="s">
        <v>2415</v>
      </c>
      <c r="B1647" s="635">
        <v>24.53</v>
      </c>
      <c r="C1647" s="636">
        <v>610</v>
      </c>
      <c r="D1647" s="636">
        <v>14963.3</v>
      </c>
      <c r="E1647" s="603"/>
    </row>
    <row r="1648" spans="1:5" x14ac:dyDescent="0.3">
      <c r="A1648" s="635" t="s">
        <v>546</v>
      </c>
      <c r="B1648" s="635">
        <v>24.04</v>
      </c>
      <c r="C1648" s="636">
        <v>1646</v>
      </c>
      <c r="D1648" s="636">
        <v>39569.839999999997</v>
      </c>
      <c r="E1648" s="603"/>
    </row>
    <row r="1649" spans="1:5" x14ac:dyDescent="0.3">
      <c r="A1649" s="635" t="s">
        <v>2414</v>
      </c>
      <c r="B1649" s="635">
        <v>24.06</v>
      </c>
      <c r="C1649" s="636">
        <v>1320</v>
      </c>
      <c r="D1649" s="636">
        <v>31759.200000000001</v>
      </c>
      <c r="E1649" s="603"/>
    </row>
    <row r="1650" spans="1:5" x14ac:dyDescent="0.3">
      <c r="A1650" s="635" t="s">
        <v>2413</v>
      </c>
      <c r="B1650" s="635">
        <v>24.14</v>
      </c>
      <c r="C1650" s="636">
        <v>1000</v>
      </c>
      <c r="D1650" s="636">
        <v>24140</v>
      </c>
      <c r="E1650" s="603"/>
    </row>
    <row r="1651" spans="1:5" x14ac:dyDescent="0.3">
      <c r="A1651" s="635" t="s">
        <v>2412</v>
      </c>
      <c r="B1651" s="635">
        <v>24</v>
      </c>
      <c r="C1651" s="636">
        <v>5294</v>
      </c>
      <c r="D1651" s="636">
        <v>127056</v>
      </c>
      <c r="E1651" s="603"/>
    </row>
    <row r="1652" spans="1:5" x14ac:dyDescent="0.3">
      <c r="A1652" s="635" t="s">
        <v>2411</v>
      </c>
      <c r="B1652" s="635">
        <v>23.95</v>
      </c>
      <c r="C1652" s="636">
        <v>5183</v>
      </c>
      <c r="D1652" s="636">
        <v>124132.85</v>
      </c>
      <c r="E1652" s="603"/>
    </row>
    <row r="1653" spans="1:5" x14ac:dyDescent="0.3">
      <c r="A1653" s="635" t="s">
        <v>2410</v>
      </c>
      <c r="B1653" s="635">
        <v>23.52</v>
      </c>
      <c r="C1653" s="636">
        <v>6680</v>
      </c>
      <c r="D1653" s="636">
        <v>157113.60000000001</v>
      </c>
      <c r="E1653" s="603"/>
    </row>
    <row r="1654" spans="1:5" x14ac:dyDescent="0.3">
      <c r="A1654" s="635" t="s">
        <v>2409</v>
      </c>
      <c r="B1654" s="635">
        <v>23.84</v>
      </c>
      <c r="C1654" s="636">
        <v>2193</v>
      </c>
      <c r="D1654" s="636">
        <v>52281.120000000003</v>
      </c>
      <c r="E1654" s="603"/>
    </row>
    <row r="1655" spans="1:5" x14ac:dyDescent="0.3">
      <c r="A1655" s="635" t="s">
        <v>2408</v>
      </c>
      <c r="B1655" s="635">
        <v>23.91</v>
      </c>
      <c r="C1655" s="636">
        <v>5535</v>
      </c>
      <c r="D1655" s="636">
        <v>132341.85</v>
      </c>
      <c r="E1655" s="603"/>
    </row>
    <row r="1656" spans="1:5" x14ac:dyDescent="0.3">
      <c r="A1656" s="635" t="s">
        <v>2407</v>
      </c>
      <c r="B1656" s="635">
        <v>24.01</v>
      </c>
      <c r="C1656" s="636">
        <v>3109</v>
      </c>
      <c r="D1656" s="636">
        <v>74647.090000000011</v>
      </c>
      <c r="E1656" s="603"/>
    </row>
    <row r="1657" spans="1:5" x14ac:dyDescent="0.3">
      <c r="A1657" s="635" t="s">
        <v>2406</v>
      </c>
      <c r="B1657" s="635">
        <v>24.04</v>
      </c>
      <c r="C1657" s="636">
        <v>4592</v>
      </c>
      <c r="D1657" s="636">
        <v>110391.67999999999</v>
      </c>
      <c r="E1657" s="603"/>
    </row>
    <row r="1658" spans="1:5" x14ac:dyDescent="0.3">
      <c r="A1658" s="635" t="s">
        <v>2405</v>
      </c>
      <c r="B1658" s="635">
        <v>24</v>
      </c>
      <c r="C1658" s="636">
        <v>4000</v>
      </c>
      <c r="D1658" s="636">
        <v>96000</v>
      </c>
      <c r="E1658" s="603"/>
    </row>
    <row r="1659" spans="1:5" x14ac:dyDescent="0.3">
      <c r="A1659" s="635" t="s">
        <v>2404</v>
      </c>
      <c r="B1659" s="635">
        <v>24.03</v>
      </c>
      <c r="C1659" s="636">
        <v>1550</v>
      </c>
      <c r="D1659" s="636">
        <v>37246.5</v>
      </c>
      <c r="E1659" s="603"/>
    </row>
    <row r="1660" spans="1:5" x14ac:dyDescent="0.3">
      <c r="A1660" s="635" t="s">
        <v>2403</v>
      </c>
      <c r="B1660" s="635">
        <v>24.04</v>
      </c>
      <c r="C1660" s="636">
        <v>1682</v>
      </c>
      <c r="D1660" s="636">
        <v>40435.279999999999</v>
      </c>
      <c r="E1660" s="603"/>
    </row>
    <row r="1661" spans="1:5" x14ac:dyDescent="0.3">
      <c r="A1661" s="635" t="s">
        <v>2402</v>
      </c>
      <c r="B1661" s="635">
        <v>24.05</v>
      </c>
      <c r="C1661" s="636">
        <v>1200</v>
      </c>
      <c r="D1661" s="636">
        <v>28860</v>
      </c>
      <c r="E1661" s="603"/>
    </row>
    <row r="1662" spans="1:5" x14ac:dyDescent="0.3">
      <c r="A1662" s="635" t="s">
        <v>2401</v>
      </c>
      <c r="B1662" s="635">
        <v>23.89</v>
      </c>
      <c r="C1662" s="636">
        <v>1200</v>
      </c>
      <c r="D1662" s="636">
        <v>28668</v>
      </c>
      <c r="E1662" s="603"/>
    </row>
    <row r="1663" spans="1:5" x14ac:dyDescent="0.3">
      <c r="A1663" s="635" t="s">
        <v>2400</v>
      </c>
      <c r="B1663" s="635">
        <v>24</v>
      </c>
      <c r="C1663" s="636">
        <v>140</v>
      </c>
      <c r="D1663" s="636">
        <v>3360</v>
      </c>
      <c r="E1663" s="603"/>
    </row>
    <row r="1664" spans="1:5" x14ac:dyDescent="0.3">
      <c r="A1664" s="635" t="s">
        <v>2399</v>
      </c>
      <c r="B1664" s="635">
        <v>24</v>
      </c>
      <c r="C1664" s="636">
        <v>1315</v>
      </c>
      <c r="D1664" s="636">
        <v>31560</v>
      </c>
      <c r="E1664" s="603"/>
    </row>
    <row r="1665" spans="1:5" x14ac:dyDescent="0.3">
      <c r="A1665" s="635" t="s">
        <v>2398</v>
      </c>
      <c r="B1665" s="635">
        <v>24.12</v>
      </c>
      <c r="C1665" s="636">
        <v>1008</v>
      </c>
      <c r="D1665" s="636">
        <v>24312.959999999999</v>
      </c>
      <c r="E1665" s="603"/>
    </row>
    <row r="1666" spans="1:5" x14ac:dyDescent="0.3">
      <c r="A1666" s="635" t="s">
        <v>547</v>
      </c>
      <c r="B1666" s="635">
        <v>24.66</v>
      </c>
      <c r="C1666" s="636">
        <v>5625</v>
      </c>
      <c r="D1666" s="636">
        <v>138712.5</v>
      </c>
      <c r="E1666" s="603"/>
    </row>
    <row r="1667" spans="1:5" x14ac:dyDescent="0.3">
      <c r="A1667" s="635" t="s">
        <v>2397</v>
      </c>
      <c r="B1667" s="635">
        <v>24.78</v>
      </c>
      <c r="C1667" s="636">
        <v>720</v>
      </c>
      <c r="D1667" s="636">
        <v>17841.599999999999</v>
      </c>
      <c r="E1667" s="603"/>
    </row>
    <row r="1668" spans="1:5" x14ac:dyDescent="0.3">
      <c r="A1668" s="635" t="s">
        <v>2396</v>
      </c>
      <c r="B1668" s="635">
        <v>24.23</v>
      </c>
      <c r="C1668" s="636">
        <v>1400</v>
      </c>
      <c r="D1668" s="636">
        <v>33922</v>
      </c>
      <c r="E1668" s="603"/>
    </row>
    <row r="1669" spans="1:5" x14ac:dyDescent="0.3">
      <c r="A1669" s="635" t="s">
        <v>2395</v>
      </c>
      <c r="B1669" s="635">
        <v>24.06</v>
      </c>
      <c r="C1669" s="636">
        <v>4719</v>
      </c>
      <c r="D1669" s="636">
        <v>113539.14</v>
      </c>
      <c r="E1669" s="603"/>
    </row>
    <row r="1670" spans="1:5" x14ac:dyDescent="0.3">
      <c r="A1670" s="635" t="s">
        <v>2394</v>
      </c>
      <c r="B1670" s="635">
        <v>23.95</v>
      </c>
      <c r="C1670" s="636">
        <v>4491</v>
      </c>
      <c r="D1670" s="636">
        <v>107559.45</v>
      </c>
      <c r="E1670" s="603"/>
    </row>
    <row r="1671" spans="1:5" x14ac:dyDescent="0.3">
      <c r="A1671" s="635" t="s">
        <v>2393</v>
      </c>
      <c r="B1671" s="635">
        <v>23.92</v>
      </c>
      <c r="C1671" s="636">
        <v>5026</v>
      </c>
      <c r="D1671" s="636">
        <v>120221.92</v>
      </c>
      <c r="E1671" s="603"/>
    </row>
    <row r="1672" spans="1:5" x14ac:dyDescent="0.3">
      <c r="A1672" s="635" t="s">
        <v>2392</v>
      </c>
      <c r="B1672" s="635">
        <v>23.96</v>
      </c>
      <c r="C1672" s="636">
        <v>3100</v>
      </c>
      <c r="D1672" s="636">
        <v>74276</v>
      </c>
      <c r="E1672" s="603"/>
    </row>
    <row r="1673" spans="1:5" x14ac:dyDescent="0.3">
      <c r="A1673" s="635" t="s">
        <v>2391</v>
      </c>
      <c r="B1673" s="635">
        <v>24.13</v>
      </c>
      <c r="C1673" s="636">
        <v>4966</v>
      </c>
      <c r="D1673" s="636">
        <v>119829.58</v>
      </c>
      <c r="E1673" s="603"/>
    </row>
    <row r="1674" spans="1:5" x14ac:dyDescent="0.3">
      <c r="A1674" s="635" t="s">
        <v>2390</v>
      </c>
      <c r="B1674" s="635">
        <v>23.8</v>
      </c>
      <c r="C1674" s="636">
        <v>6831</v>
      </c>
      <c r="D1674" s="636">
        <v>162577.79999999999</v>
      </c>
      <c r="E1674" s="603"/>
    </row>
    <row r="1675" spans="1:5" x14ac:dyDescent="0.3">
      <c r="A1675" s="635" t="s">
        <v>2389</v>
      </c>
      <c r="B1675" s="635">
        <v>23.8</v>
      </c>
      <c r="C1675" s="636">
        <v>200</v>
      </c>
      <c r="D1675" s="636">
        <v>4760</v>
      </c>
      <c r="E1675" s="603"/>
    </row>
    <row r="1676" spans="1:5" x14ac:dyDescent="0.3">
      <c r="A1676" s="635" t="s">
        <v>2388</v>
      </c>
      <c r="B1676" s="635">
        <v>23.14</v>
      </c>
      <c r="C1676" s="636">
        <v>435</v>
      </c>
      <c r="D1676" s="636">
        <v>10065.9</v>
      </c>
      <c r="E1676" s="603"/>
    </row>
    <row r="1677" spans="1:5" x14ac:dyDescent="0.3">
      <c r="A1677" s="635" t="s">
        <v>2387</v>
      </c>
      <c r="B1677" s="635">
        <v>23.14</v>
      </c>
      <c r="C1677" s="636">
        <v>70</v>
      </c>
      <c r="D1677" s="636">
        <v>1619.8</v>
      </c>
      <c r="E1677" s="603"/>
    </row>
    <row r="1678" spans="1:5" x14ac:dyDescent="0.3">
      <c r="A1678" s="635" t="s">
        <v>2386</v>
      </c>
      <c r="B1678" s="635">
        <v>23.14</v>
      </c>
      <c r="C1678" s="636">
        <v>55</v>
      </c>
      <c r="D1678" s="636">
        <v>1272.7</v>
      </c>
      <c r="E1678" s="603"/>
    </row>
    <row r="1679" spans="1:5" x14ac:dyDescent="0.3">
      <c r="A1679" s="635" t="s">
        <v>2385</v>
      </c>
      <c r="B1679" s="635">
        <v>24</v>
      </c>
      <c r="C1679" s="636">
        <v>3548</v>
      </c>
      <c r="D1679" s="636">
        <v>85152</v>
      </c>
      <c r="E1679" s="603"/>
    </row>
    <row r="1680" spans="1:5" x14ac:dyDescent="0.3">
      <c r="A1680" s="635" t="s">
        <v>2384</v>
      </c>
      <c r="B1680" s="635">
        <v>24.26</v>
      </c>
      <c r="C1680" s="636">
        <v>8172</v>
      </c>
      <c r="D1680" s="636">
        <v>198252.72</v>
      </c>
      <c r="E1680" s="603"/>
    </row>
    <row r="1681" spans="1:5" x14ac:dyDescent="0.3">
      <c r="A1681" s="635" t="s">
        <v>2383</v>
      </c>
      <c r="B1681" s="635">
        <v>23.91</v>
      </c>
      <c r="C1681" s="636">
        <v>400</v>
      </c>
      <c r="D1681" s="636">
        <v>9564</v>
      </c>
      <c r="E1681" s="603"/>
    </row>
    <row r="1682" spans="1:5" x14ac:dyDescent="0.3">
      <c r="A1682" s="635" t="s">
        <v>548</v>
      </c>
      <c r="B1682" s="635">
        <v>23.94</v>
      </c>
      <c r="C1682" s="636">
        <v>1100</v>
      </c>
      <c r="D1682" s="636">
        <v>26334</v>
      </c>
      <c r="E1682" s="603"/>
    </row>
    <row r="1683" spans="1:5" x14ac:dyDescent="0.3">
      <c r="A1683" s="635" t="s">
        <v>2382</v>
      </c>
      <c r="B1683" s="635">
        <v>24.01</v>
      </c>
      <c r="C1683" s="636">
        <v>1154</v>
      </c>
      <c r="D1683" s="636">
        <v>27707.54</v>
      </c>
      <c r="E1683" s="603"/>
    </row>
    <row r="1684" spans="1:5" x14ac:dyDescent="0.3">
      <c r="A1684" s="635" t="s">
        <v>2381</v>
      </c>
      <c r="B1684" s="635">
        <v>24.03</v>
      </c>
      <c r="C1684" s="636">
        <v>2100</v>
      </c>
      <c r="D1684" s="636">
        <v>50463</v>
      </c>
      <c r="E1684" s="603"/>
    </row>
    <row r="1685" spans="1:5" x14ac:dyDescent="0.3">
      <c r="A1685" s="635" t="s">
        <v>2380</v>
      </c>
      <c r="B1685" s="635">
        <v>24.06</v>
      </c>
      <c r="C1685" s="636">
        <v>799</v>
      </c>
      <c r="D1685" s="636">
        <v>19223.939999999999</v>
      </c>
      <c r="E1685" s="603"/>
    </row>
    <row r="1686" spans="1:5" x14ac:dyDescent="0.3">
      <c r="A1686" s="635" t="s">
        <v>2379</v>
      </c>
      <c r="B1686" s="635">
        <v>24.06</v>
      </c>
      <c r="C1686" s="636">
        <v>70</v>
      </c>
      <c r="D1686" s="636">
        <v>1684.2</v>
      </c>
      <c r="E1686" s="603"/>
    </row>
    <row r="1687" spans="1:5" x14ac:dyDescent="0.3">
      <c r="A1687" s="635" t="s">
        <v>2378</v>
      </c>
      <c r="B1687" s="635">
        <v>24.03</v>
      </c>
      <c r="C1687" s="636">
        <v>1355</v>
      </c>
      <c r="D1687" s="636">
        <v>32560.65</v>
      </c>
      <c r="E1687" s="603"/>
    </row>
    <row r="1688" spans="1:5" x14ac:dyDescent="0.3">
      <c r="A1688" s="635" t="s">
        <v>2377</v>
      </c>
      <c r="B1688" s="635">
        <v>24.11</v>
      </c>
      <c r="C1688" s="636">
        <v>975</v>
      </c>
      <c r="D1688" s="636">
        <v>23507.25</v>
      </c>
      <c r="E1688" s="603"/>
    </row>
    <row r="1689" spans="1:5" x14ac:dyDescent="0.3">
      <c r="A1689" s="635" t="s">
        <v>2376</v>
      </c>
      <c r="B1689" s="635">
        <v>24.11</v>
      </c>
      <c r="C1689" s="636">
        <v>300</v>
      </c>
      <c r="D1689" s="636">
        <v>7233</v>
      </c>
      <c r="E1689" s="603"/>
    </row>
    <row r="1690" spans="1:5" x14ac:dyDescent="0.3">
      <c r="A1690" s="635" t="s">
        <v>2375</v>
      </c>
      <c r="B1690" s="635">
        <v>23.93</v>
      </c>
      <c r="C1690" s="636">
        <v>2506</v>
      </c>
      <c r="D1690" s="636">
        <v>59968.58</v>
      </c>
      <c r="E1690" s="603"/>
    </row>
    <row r="1691" spans="1:5" x14ac:dyDescent="0.3">
      <c r="A1691" s="635" t="s">
        <v>2374</v>
      </c>
      <c r="B1691" s="635">
        <v>24</v>
      </c>
      <c r="C1691" s="636">
        <v>1000</v>
      </c>
      <c r="D1691" s="636">
        <v>24000</v>
      </c>
      <c r="E1691" s="603"/>
    </row>
    <row r="1692" spans="1:5" x14ac:dyDescent="0.3">
      <c r="A1692" s="635" t="s">
        <v>2373</v>
      </c>
      <c r="B1692" s="635">
        <v>24.01</v>
      </c>
      <c r="C1692" s="636">
        <v>4712</v>
      </c>
      <c r="D1692" s="636">
        <v>113135.12</v>
      </c>
      <c r="E1692" s="603"/>
    </row>
    <row r="1693" spans="1:5" x14ac:dyDescent="0.3">
      <c r="A1693" s="635" t="s">
        <v>2372</v>
      </c>
      <c r="B1693" s="635">
        <v>24</v>
      </c>
      <c r="C1693" s="636">
        <v>1226</v>
      </c>
      <c r="D1693" s="636">
        <v>29424</v>
      </c>
      <c r="E1693" s="603"/>
    </row>
    <row r="1694" spans="1:5" x14ac:dyDescent="0.3">
      <c r="A1694" s="635" t="s">
        <v>2371</v>
      </c>
      <c r="B1694" s="635">
        <v>24</v>
      </c>
      <c r="C1694" s="636">
        <v>37</v>
      </c>
      <c r="D1694" s="636">
        <v>888</v>
      </c>
      <c r="E1694" s="603"/>
    </row>
    <row r="1695" spans="1:5" x14ac:dyDescent="0.3">
      <c r="A1695" s="635" t="s">
        <v>2370</v>
      </c>
      <c r="B1695" s="635">
        <v>24</v>
      </c>
      <c r="C1695" s="636">
        <v>3018</v>
      </c>
      <c r="D1695" s="636">
        <v>72432</v>
      </c>
      <c r="E1695" s="603"/>
    </row>
    <row r="1696" spans="1:5" x14ac:dyDescent="0.3">
      <c r="A1696" s="635" t="s">
        <v>2369</v>
      </c>
      <c r="B1696" s="635">
        <v>23.93</v>
      </c>
      <c r="C1696" s="636">
        <v>2200</v>
      </c>
      <c r="D1696" s="636">
        <v>52646</v>
      </c>
      <c r="E1696" s="603"/>
    </row>
    <row r="1697" spans="1:5" x14ac:dyDescent="0.3">
      <c r="A1697" s="635" t="s">
        <v>2368</v>
      </c>
      <c r="B1697" s="635">
        <v>23.54</v>
      </c>
      <c r="C1697" s="636">
        <v>820</v>
      </c>
      <c r="D1697" s="636">
        <v>19302.8</v>
      </c>
      <c r="E1697" s="603"/>
    </row>
    <row r="1698" spans="1:5" x14ac:dyDescent="0.3">
      <c r="A1698" s="635" t="s">
        <v>549</v>
      </c>
      <c r="B1698" s="635">
        <v>23.8</v>
      </c>
      <c r="C1698" s="636">
        <v>1757</v>
      </c>
      <c r="D1698" s="636">
        <v>41816.6</v>
      </c>
      <c r="E1698" s="603"/>
    </row>
    <row r="1699" spans="1:5" x14ac:dyDescent="0.3">
      <c r="A1699" s="635" t="s">
        <v>2367</v>
      </c>
      <c r="B1699" s="635">
        <v>23.99</v>
      </c>
      <c r="C1699" s="636">
        <v>1457</v>
      </c>
      <c r="D1699" s="636">
        <v>34953.43</v>
      </c>
      <c r="E1699" s="603"/>
    </row>
    <row r="1700" spans="1:5" x14ac:dyDescent="0.3">
      <c r="A1700" s="635" t="s">
        <v>2366</v>
      </c>
      <c r="B1700" s="635">
        <v>23.99</v>
      </c>
      <c r="C1700" s="636">
        <v>260</v>
      </c>
      <c r="D1700" s="636">
        <v>6237.4</v>
      </c>
      <c r="E1700" s="603"/>
    </row>
    <row r="1701" spans="1:5" x14ac:dyDescent="0.3">
      <c r="A1701" s="635" t="s">
        <v>2365</v>
      </c>
      <c r="B1701" s="635">
        <v>23.76</v>
      </c>
      <c r="C1701" s="636">
        <v>4259</v>
      </c>
      <c r="D1701" s="636">
        <v>101193.84</v>
      </c>
      <c r="E1701" s="603"/>
    </row>
    <row r="1702" spans="1:5" x14ac:dyDescent="0.3">
      <c r="A1702" s="635" t="s">
        <v>2364</v>
      </c>
      <c r="B1702" s="635">
        <v>23.85</v>
      </c>
      <c r="C1702" s="636">
        <v>446</v>
      </c>
      <c r="D1702" s="636">
        <v>10637.1</v>
      </c>
      <c r="E1702" s="603"/>
    </row>
    <row r="1703" spans="1:5" x14ac:dyDescent="0.3">
      <c r="A1703" s="635" t="s">
        <v>2363</v>
      </c>
      <c r="B1703" s="635">
        <v>23.7</v>
      </c>
      <c r="C1703" s="636">
        <v>1500</v>
      </c>
      <c r="D1703" s="636">
        <v>35550</v>
      </c>
      <c r="E1703" s="603"/>
    </row>
    <row r="1704" spans="1:5" x14ac:dyDescent="0.3">
      <c r="A1704" s="635" t="s">
        <v>2362</v>
      </c>
      <c r="B1704" s="635">
        <v>23.95</v>
      </c>
      <c r="C1704" s="636">
        <v>2370</v>
      </c>
      <c r="D1704" s="636">
        <v>56761.5</v>
      </c>
      <c r="E1704" s="603"/>
    </row>
    <row r="1705" spans="1:5" x14ac:dyDescent="0.3">
      <c r="A1705" s="635" t="s">
        <v>2361</v>
      </c>
      <c r="B1705" s="635">
        <v>23.73</v>
      </c>
      <c r="C1705" s="636">
        <v>5716</v>
      </c>
      <c r="D1705" s="636">
        <v>135640.68</v>
      </c>
      <c r="E1705" s="603"/>
    </row>
    <row r="1706" spans="1:5" x14ac:dyDescent="0.3">
      <c r="A1706" s="635" t="s">
        <v>2360</v>
      </c>
      <c r="B1706" s="635">
        <v>23.5</v>
      </c>
      <c r="C1706" s="636">
        <v>3171</v>
      </c>
      <c r="D1706" s="636">
        <v>74518.5</v>
      </c>
      <c r="E1706" s="603"/>
    </row>
    <row r="1707" spans="1:5" x14ac:dyDescent="0.3">
      <c r="A1707" s="635" t="s">
        <v>2359</v>
      </c>
      <c r="B1707" s="635">
        <v>23.59</v>
      </c>
      <c r="C1707" s="636">
        <v>2242</v>
      </c>
      <c r="D1707" s="636">
        <v>52888.78</v>
      </c>
      <c r="E1707" s="603"/>
    </row>
    <row r="1708" spans="1:5" x14ac:dyDescent="0.3">
      <c r="A1708" s="635" t="s">
        <v>2358</v>
      </c>
      <c r="B1708" s="635">
        <v>23.59</v>
      </c>
      <c r="C1708" s="636">
        <v>236</v>
      </c>
      <c r="D1708" s="636">
        <v>5567.24</v>
      </c>
      <c r="E1708" s="603"/>
    </row>
    <row r="1709" spans="1:5" x14ac:dyDescent="0.3">
      <c r="A1709" s="635" t="s">
        <v>2357</v>
      </c>
      <c r="B1709" s="635">
        <v>23.59</v>
      </c>
      <c r="C1709" s="636">
        <v>180</v>
      </c>
      <c r="D1709" s="636">
        <v>4246.2</v>
      </c>
      <c r="E1709" s="603"/>
    </row>
    <row r="1710" spans="1:5" x14ac:dyDescent="0.3">
      <c r="A1710" s="635" t="s">
        <v>2356</v>
      </c>
      <c r="B1710" s="635">
        <v>23.59</v>
      </c>
      <c r="C1710" s="636">
        <v>375</v>
      </c>
      <c r="D1710" s="636">
        <v>8846.25</v>
      </c>
      <c r="E1710" s="603"/>
    </row>
    <row r="1711" spans="1:5" x14ac:dyDescent="0.3">
      <c r="A1711" s="635" t="s">
        <v>2355</v>
      </c>
      <c r="B1711" s="635">
        <v>23.43</v>
      </c>
      <c r="C1711" s="636">
        <v>1770</v>
      </c>
      <c r="D1711" s="636">
        <v>41471.1</v>
      </c>
      <c r="E1711" s="603"/>
    </row>
    <row r="1712" spans="1:5" x14ac:dyDescent="0.3">
      <c r="A1712" s="635" t="s">
        <v>2354</v>
      </c>
      <c r="B1712" s="635">
        <v>23.91</v>
      </c>
      <c r="C1712" s="636">
        <v>1213</v>
      </c>
      <c r="D1712" s="636">
        <v>29002.83</v>
      </c>
      <c r="E1712" s="603"/>
    </row>
    <row r="1713" spans="1:5" x14ac:dyDescent="0.3">
      <c r="A1713" s="635" t="s">
        <v>550</v>
      </c>
      <c r="B1713" s="635">
        <v>23.91</v>
      </c>
      <c r="C1713" s="636">
        <v>5</v>
      </c>
      <c r="D1713" s="636">
        <v>119.55</v>
      </c>
      <c r="E1713" s="603"/>
    </row>
    <row r="1714" spans="1:5" x14ac:dyDescent="0.3">
      <c r="A1714" s="635" t="s">
        <v>2353</v>
      </c>
      <c r="B1714" s="635">
        <v>23.91</v>
      </c>
      <c r="C1714" s="636">
        <v>32</v>
      </c>
      <c r="D1714" s="636">
        <v>765.12</v>
      </c>
      <c r="E1714" s="603"/>
    </row>
    <row r="1715" spans="1:5" x14ac:dyDescent="0.3">
      <c r="A1715" s="635" t="s">
        <v>2352</v>
      </c>
      <c r="B1715" s="635">
        <v>23.91</v>
      </c>
      <c r="C1715" s="636">
        <v>270</v>
      </c>
      <c r="D1715" s="636">
        <v>6455.7</v>
      </c>
      <c r="E1715" s="603"/>
    </row>
    <row r="1716" spans="1:5" x14ac:dyDescent="0.3">
      <c r="A1716" s="635" t="s">
        <v>2351</v>
      </c>
      <c r="B1716" s="635">
        <v>23.91</v>
      </c>
      <c r="C1716" s="636">
        <v>25</v>
      </c>
      <c r="D1716" s="636">
        <v>597.75</v>
      </c>
      <c r="E1716" s="603"/>
    </row>
    <row r="1717" spans="1:5" x14ac:dyDescent="0.3">
      <c r="A1717" s="635" t="s">
        <v>2350</v>
      </c>
      <c r="B1717" s="635">
        <v>24.84</v>
      </c>
      <c r="C1717" s="636">
        <v>500</v>
      </c>
      <c r="D1717" s="636">
        <v>12420</v>
      </c>
      <c r="E1717" s="603"/>
    </row>
    <row r="1718" spans="1:5" x14ac:dyDescent="0.3">
      <c r="A1718" s="635" t="s">
        <v>2349</v>
      </c>
      <c r="B1718" s="635">
        <v>24.27</v>
      </c>
      <c r="C1718" s="636">
        <v>1369</v>
      </c>
      <c r="D1718" s="636">
        <v>33225.629999999997</v>
      </c>
      <c r="E1718" s="603"/>
    </row>
    <row r="1719" spans="1:5" x14ac:dyDescent="0.3">
      <c r="A1719" s="635" t="s">
        <v>2348</v>
      </c>
      <c r="B1719" s="635">
        <v>23.92</v>
      </c>
      <c r="C1719" s="636">
        <v>740</v>
      </c>
      <c r="D1719" s="636">
        <v>17700.8</v>
      </c>
      <c r="E1719" s="603"/>
    </row>
    <row r="1720" spans="1:5" x14ac:dyDescent="0.3">
      <c r="A1720" s="635" t="s">
        <v>2347</v>
      </c>
      <c r="B1720" s="635">
        <v>24</v>
      </c>
      <c r="C1720" s="636">
        <v>1230</v>
      </c>
      <c r="D1720" s="636">
        <v>29520</v>
      </c>
      <c r="E1720" s="603"/>
    </row>
    <row r="1721" spans="1:5" x14ac:dyDescent="0.3">
      <c r="A1721" s="635" t="s">
        <v>2346</v>
      </c>
      <c r="B1721" s="635">
        <v>24.54</v>
      </c>
      <c r="C1721" s="636">
        <v>900</v>
      </c>
      <c r="D1721" s="636">
        <v>22086</v>
      </c>
      <c r="E1721" s="603"/>
    </row>
    <row r="1722" spans="1:5" x14ac:dyDescent="0.3">
      <c r="A1722" s="635" t="s">
        <v>551</v>
      </c>
      <c r="B1722" s="635">
        <v>23.52</v>
      </c>
      <c r="C1722" s="636">
        <v>1700</v>
      </c>
      <c r="D1722" s="636">
        <v>39984</v>
      </c>
      <c r="E1722" s="603"/>
    </row>
    <row r="1723" spans="1:5" x14ac:dyDescent="0.3">
      <c r="A1723" s="635" t="s">
        <v>2345</v>
      </c>
      <c r="B1723" s="635">
        <v>24.06</v>
      </c>
      <c r="C1723" s="636">
        <v>1754</v>
      </c>
      <c r="D1723" s="636">
        <v>42201.24</v>
      </c>
      <c r="E1723" s="603"/>
    </row>
    <row r="1724" spans="1:5" x14ac:dyDescent="0.3">
      <c r="A1724" s="635" t="s">
        <v>2344</v>
      </c>
      <c r="B1724" s="635">
        <v>24.06</v>
      </c>
      <c r="C1724" s="636">
        <v>75</v>
      </c>
      <c r="D1724" s="636">
        <v>1804.5</v>
      </c>
      <c r="E1724" s="603"/>
    </row>
    <row r="1725" spans="1:5" x14ac:dyDescent="0.3">
      <c r="A1725" s="635" t="s">
        <v>2343</v>
      </c>
      <c r="B1725" s="635">
        <v>24.06</v>
      </c>
      <c r="C1725" s="636">
        <v>360</v>
      </c>
      <c r="D1725" s="636">
        <v>8661.6</v>
      </c>
      <c r="E1725" s="603"/>
    </row>
    <row r="1726" spans="1:5" x14ac:dyDescent="0.3">
      <c r="A1726" s="635" t="s">
        <v>2342</v>
      </c>
      <c r="B1726" s="635">
        <v>24.45</v>
      </c>
      <c r="C1726" s="636">
        <v>4830</v>
      </c>
      <c r="D1726" s="636">
        <v>118093.5</v>
      </c>
      <c r="E1726" s="603"/>
    </row>
    <row r="1727" spans="1:5" x14ac:dyDescent="0.3">
      <c r="A1727" s="635" t="s">
        <v>2341</v>
      </c>
      <c r="B1727" s="635">
        <v>24.45</v>
      </c>
      <c r="C1727" s="636">
        <v>100</v>
      </c>
      <c r="D1727" s="636">
        <v>2445</v>
      </c>
      <c r="E1727" s="603"/>
    </row>
    <row r="1728" spans="1:5" x14ac:dyDescent="0.3">
      <c r="A1728" s="635" t="s">
        <v>2340</v>
      </c>
      <c r="B1728" s="635">
        <v>24.01</v>
      </c>
      <c r="C1728" s="636">
        <v>4040</v>
      </c>
      <c r="D1728" s="636">
        <v>97000.400000000009</v>
      </c>
      <c r="E1728" s="603"/>
    </row>
    <row r="1729" spans="1:5" x14ac:dyDescent="0.3">
      <c r="A1729" s="635" t="s">
        <v>2339</v>
      </c>
      <c r="B1729" s="635">
        <v>24.01</v>
      </c>
      <c r="C1729" s="636">
        <v>7226</v>
      </c>
      <c r="D1729" s="636">
        <v>173496.26</v>
      </c>
      <c r="E1729" s="603"/>
    </row>
    <row r="1730" spans="1:5" x14ac:dyDescent="0.3">
      <c r="A1730" s="635" t="s">
        <v>2338</v>
      </c>
      <c r="B1730" s="635">
        <v>24.01</v>
      </c>
      <c r="C1730" s="636">
        <v>304</v>
      </c>
      <c r="D1730" s="636">
        <v>7299.0400000000009</v>
      </c>
      <c r="E1730" s="603"/>
    </row>
    <row r="1731" spans="1:5" x14ac:dyDescent="0.3">
      <c r="A1731" s="635" t="s">
        <v>2337</v>
      </c>
      <c r="B1731" s="635">
        <v>24</v>
      </c>
      <c r="C1731" s="636">
        <v>500</v>
      </c>
      <c r="D1731" s="636">
        <v>12000</v>
      </c>
      <c r="E1731" s="603"/>
    </row>
    <row r="1732" spans="1:5" x14ac:dyDescent="0.3">
      <c r="A1732" s="635" t="s">
        <v>2336</v>
      </c>
      <c r="B1732" s="635">
        <v>24.01</v>
      </c>
      <c r="C1732" s="636">
        <v>445</v>
      </c>
      <c r="D1732" s="636">
        <v>10684.45</v>
      </c>
      <c r="E1732" s="603"/>
    </row>
    <row r="1733" spans="1:5" x14ac:dyDescent="0.3">
      <c r="A1733" s="635" t="s">
        <v>552</v>
      </c>
      <c r="B1733" s="635">
        <v>24.01</v>
      </c>
      <c r="C1733" s="636">
        <v>312</v>
      </c>
      <c r="D1733" s="636">
        <v>7491.1200000000008</v>
      </c>
      <c r="E1733" s="603"/>
    </row>
    <row r="1734" spans="1:5" x14ac:dyDescent="0.3">
      <c r="A1734" s="635" t="s">
        <v>2335</v>
      </c>
      <c r="B1734" s="635">
        <v>24.01</v>
      </c>
      <c r="C1734" s="636">
        <v>237</v>
      </c>
      <c r="D1734" s="636">
        <v>5690.3700000000008</v>
      </c>
      <c r="E1734" s="603"/>
    </row>
    <row r="1735" spans="1:5" x14ac:dyDescent="0.3">
      <c r="A1735" s="635" t="s">
        <v>2334</v>
      </c>
      <c r="B1735" s="635">
        <v>24.01</v>
      </c>
      <c r="C1735" s="636">
        <v>350</v>
      </c>
      <c r="D1735" s="636">
        <v>8403.5</v>
      </c>
      <c r="E1735" s="603"/>
    </row>
    <row r="1736" spans="1:5" x14ac:dyDescent="0.3">
      <c r="A1736" s="635" t="s">
        <v>2333</v>
      </c>
      <c r="B1736" s="635">
        <v>24.01</v>
      </c>
      <c r="C1736" s="636">
        <v>14</v>
      </c>
      <c r="D1736" s="636">
        <v>336.14</v>
      </c>
      <c r="E1736" s="603"/>
    </row>
    <row r="1737" spans="1:5" x14ac:dyDescent="0.3">
      <c r="A1737" s="635" t="s">
        <v>2332</v>
      </c>
      <c r="B1737" s="635">
        <v>24.01</v>
      </c>
      <c r="C1737" s="636">
        <v>30</v>
      </c>
      <c r="D1737" s="636">
        <v>720.30000000000007</v>
      </c>
      <c r="E1737" s="603"/>
    </row>
    <row r="1738" spans="1:5" x14ac:dyDescent="0.3">
      <c r="A1738" s="635" t="s">
        <v>2331</v>
      </c>
      <c r="B1738" s="635">
        <v>23.89</v>
      </c>
      <c r="C1738" s="636">
        <v>760</v>
      </c>
      <c r="D1738" s="636">
        <v>18156.400000000001</v>
      </c>
      <c r="E1738" s="603"/>
    </row>
    <row r="1739" spans="1:5" x14ac:dyDescent="0.3">
      <c r="A1739" s="635" t="s">
        <v>2330</v>
      </c>
      <c r="B1739" s="635">
        <v>24.17</v>
      </c>
      <c r="C1739" s="636">
        <v>750</v>
      </c>
      <c r="D1739" s="636">
        <v>18127.5</v>
      </c>
      <c r="E1739" s="603"/>
    </row>
    <row r="1740" spans="1:5" x14ac:dyDescent="0.3">
      <c r="A1740" s="635" t="s">
        <v>2329</v>
      </c>
      <c r="B1740" s="635">
        <v>24.24</v>
      </c>
      <c r="C1740" s="636">
        <v>2460</v>
      </c>
      <c r="D1740" s="636">
        <v>59630.399999999987</v>
      </c>
      <c r="E1740" s="603"/>
    </row>
    <row r="1741" spans="1:5" x14ac:dyDescent="0.3">
      <c r="A1741" s="635" t="s">
        <v>2328</v>
      </c>
      <c r="B1741" s="635">
        <v>24.25</v>
      </c>
      <c r="C1741" s="636">
        <v>1226</v>
      </c>
      <c r="D1741" s="636">
        <v>29730.5</v>
      </c>
      <c r="E1741" s="603"/>
    </row>
    <row r="1742" spans="1:5" x14ac:dyDescent="0.3">
      <c r="A1742" s="635" t="s">
        <v>2327</v>
      </c>
      <c r="B1742" s="635">
        <v>24.25</v>
      </c>
      <c r="C1742" s="636">
        <v>3535</v>
      </c>
      <c r="D1742" s="636">
        <v>85723.75</v>
      </c>
      <c r="E1742" s="603"/>
    </row>
    <row r="1743" spans="1:5" x14ac:dyDescent="0.3">
      <c r="A1743" s="635" t="s">
        <v>2326</v>
      </c>
      <c r="B1743" s="635">
        <v>24.25</v>
      </c>
      <c r="C1743" s="636">
        <v>250</v>
      </c>
      <c r="D1743" s="636">
        <v>6062.5</v>
      </c>
      <c r="E1743" s="603"/>
    </row>
    <row r="1744" spans="1:5" x14ac:dyDescent="0.3">
      <c r="A1744" s="635" t="s">
        <v>2325</v>
      </c>
      <c r="B1744" s="635">
        <v>24.25</v>
      </c>
      <c r="C1744" s="636">
        <v>152</v>
      </c>
      <c r="D1744" s="636">
        <v>3686</v>
      </c>
      <c r="E1744" s="603"/>
    </row>
    <row r="1745" spans="1:5" x14ac:dyDescent="0.3">
      <c r="A1745" s="635" t="s">
        <v>2324</v>
      </c>
      <c r="B1745" s="635">
        <v>23.06</v>
      </c>
      <c r="C1745" s="636">
        <v>571</v>
      </c>
      <c r="D1745" s="636">
        <v>13167.26</v>
      </c>
      <c r="E1745" s="603"/>
    </row>
    <row r="1746" spans="1:5" x14ac:dyDescent="0.3">
      <c r="A1746" s="635" t="s">
        <v>2323</v>
      </c>
      <c r="B1746" s="635">
        <v>23.5</v>
      </c>
      <c r="C1746" s="636">
        <v>730</v>
      </c>
      <c r="D1746" s="636">
        <v>17155</v>
      </c>
      <c r="E1746" s="603"/>
    </row>
    <row r="1747" spans="1:5" x14ac:dyDescent="0.3">
      <c r="A1747" s="635" t="s">
        <v>2322</v>
      </c>
      <c r="B1747" s="635">
        <v>23.5</v>
      </c>
      <c r="C1747" s="636">
        <v>238</v>
      </c>
      <c r="D1747" s="636">
        <v>5593</v>
      </c>
      <c r="E1747" s="603"/>
    </row>
    <row r="1748" spans="1:5" x14ac:dyDescent="0.3">
      <c r="A1748" s="635" t="s">
        <v>2321</v>
      </c>
      <c r="B1748" s="635">
        <v>24.21</v>
      </c>
      <c r="C1748" s="636">
        <v>780</v>
      </c>
      <c r="D1748" s="636">
        <v>18883.8</v>
      </c>
      <c r="E1748" s="603"/>
    </row>
    <row r="1749" spans="1:5" x14ac:dyDescent="0.3">
      <c r="A1749" s="635" t="s">
        <v>553</v>
      </c>
      <c r="B1749" s="635">
        <v>24.22</v>
      </c>
      <c r="C1749" s="636">
        <v>760</v>
      </c>
      <c r="D1749" s="636">
        <v>18407.2</v>
      </c>
      <c r="E1749" s="603"/>
    </row>
    <row r="1750" spans="1:5" x14ac:dyDescent="0.3">
      <c r="A1750" s="635" t="s">
        <v>2320</v>
      </c>
      <c r="B1750" s="635">
        <v>24.14</v>
      </c>
      <c r="C1750" s="636">
        <v>1000</v>
      </c>
      <c r="D1750" s="636">
        <v>24140</v>
      </c>
      <c r="E1750" s="603"/>
    </row>
    <row r="1751" spans="1:5" x14ac:dyDescent="0.3">
      <c r="A1751" s="635" t="s">
        <v>2319</v>
      </c>
      <c r="B1751" s="635">
        <v>23.88</v>
      </c>
      <c r="C1751" s="636">
        <v>2760</v>
      </c>
      <c r="D1751" s="636">
        <v>65908.800000000003</v>
      </c>
      <c r="E1751" s="603"/>
    </row>
    <row r="1752" spans="1:5" x14ac:dyDescent="0.3">
      <c r="A1752" s="635" t="s">
        <v>2318</v>
      </c>
      <c r="B1752" s="635">
        <v>23.41</v>
      </c>
      <c r="C1752" s="636">
        <v>944</v>
      </c>
      <c r="D1752" s="636">
        <v>22099.040000000001</v>
      </c>
      <c r="E1752" s="603"/>
    </row>
    <row r="1753" spans="1:5" x14ac:dyDescent="0.3">
      <c r="A1753" s="635" t="s">
        <v>2317</v>
      </c>
      <c r="B1753" s="635">
        <v>23.41</v>
      </c>
      <c r="C1753" s="636">
        <v>203</v>
      </c>
      <c r="D1753" s="636">
        <v>4752.2299999999996</v>
      </c>
      <c r="E1753" s="603"/>
    </row>
    <row r="1754" spans="1:5" x14ac:dyDescent="0.3">
      <c r="A1754" s="635" t="s">
        <v>2316</v>
      </c>
      <c r="B1754" s="635">
        <v>23.58</v>
      </c>
      <c r="C1754" s="636">
        <v>1725</v>
      </c>
      <c r="D1754" s="636">
        <v>40675.5</v>
      </c>
      <c r="E1754" s="603"/>
    </row>
    <row r="1755" spans="1:5" x14ac:dyDescent="0.3">
      <c r="A1755" s="635" t="s">
        <v>2315</v>
      </c>
      <c r="B1755" s="635">
        <v>24.77</v>
      </c>
      <c r="C1755" s="636">
        <v>1072</v>
      </c>
      <c r="D1755" s="636">
        <v>26553.439999999999</v>
      </c>
      <c r="E1755" s="603"/>
    </row>
    <row r="1756" spans="1:5" x14ac:dyDescent="0.3">
      <c r="A1756" s="635" t="s">
        <v>2314</v>
      </c>
      <c r="B1756" s="635">
        <v>24.77</v>
      </c>
      <c r="C1756" s="636">
        <v>215</v>
      </c>
      <c r="D1756" s="636">
        <v>5325.55</v>
      </c>
      <c r="E1756" s="603"/>
    </row>
    <row r="1757" spans="1:5" x14ac:dyDescent="0.3">
      <c r="A1757" s="635" t="s">
        <v>2313</v>
      </c>
      <c r="B1757" s="635">
        <v>25.22</v>
      </c>
      <c r="C1757" s="636">
        <v>2799</v>
      </c>
      <c r="D1757" s="636">
        <v>70590.78</v>
      </c>
      <c r="E1757" s="603"/>
    </row>
    <row r="1758" spans="1:5" x14ac:dyDescent="0.3">
      <c r="A1758" s="635" t="s">
        <v>2312</v>
      </c>
      <c r="B1758" s="635">
        <v>25.22</v>
      </c>
      <c r="C1758" s="636">
        <v>57</v>
      </c>
      <c r="D1758" s="636">
        <v>1437.54</v>
      </c>
      <c r="E1758" s="603"/>
    </row>
    <row r="1759" spans="1:5" x14ac:dyDescent="0.3">
      <c r="A1759" s="635" t="s">
        <v>2311</v>
      </c>
      <c r="B1759" s="635">
        <v>24.44</v>
      </c>
      <c r="C1759" s="636">
        <v>13000</v>
      </c>
      <c r="D1759" s="636">
        <v>317720</v>
      </c>
      <c r="E1759" s="603"/>
    </row>
    <row r="1760" spans="1:5" x14ac:dyDescent="0.3">
      <c r="A1760" s="635" t="s">
        <v>2310</v>
      </c>
      <c r="B1760" s="635">
        <v>24.47</v>
      </c>
      <c r="C1760" s="636">
        <v>12652</v>
      </c>
      <c r="D1760" s="636">
        <v>309594.44</v>
      </c>
      <c r="E1760" s="603"/>
    </row>
    <row r="1761" spans="1:5" x14ac:dyDescent="0.3">
      <c r="A1761" s="635" t="s">
        <v>2309</v>
      </c>
      <c r="B1761" s="635">
        <v>24.08</v>
      </c>
      <c r="C1761" s="636">
        <v>4415</v>
      </c>
      <c r="D1761" s="636">
        <v>106313.2</v>
      </c>
      <c r="E1761" s="603"/>
    </row>
    <row r="1762" spans="1:5" x14ac:dyDescent="0.3">
      <c r="A1762" s="635" t="s">
        <v>2308</v>
      </c>
      <c r="B1762" s="635">
        <v>24.38</v>
      </c>
      <c r="C1762" s="636">
        <v>6211</v>
      </c>
      <c r="D1762" s="636">
        <v>151424.18</v>
      </c>
      <c r="E1762" s="603"/>
    </row>
    <row r="1763" spans="1:5" x14ac:dyDescent="0.3">
      <c r="A1763" s="635" t="s">
        <v>2307</v>
      </c>
      <c r="B1763" s="635">
        <v>21.95</v>
      </c>
      <c r="C1763" s="636">
        <v>4015</v>
      </c>
      <c r="D1763" s="636">
        <v>88129.25</v>
      </c>
      <c r="E1763" s="603"/>
    </row>
    <row r="1764" spans="1:5" x14ac:dyDescent="0.3">
      <c r="A1764" s="635" t="s">
        <v>2306</v>
      </c>
      <c r="B1764" s="635">
        <v>21.6</v>
      </c>
      <c r="C1764" s="636">
        <v>1340</v>
      </c>
      <c r="D1764" s="636">
        <v>28944</v>
      </c>
      <c r="E1764" s="603"/>
    </row>
    <row r="1765" spans="1:5" x14ac:dyDescent="0.3">
      <c r="A1765" s="635" t="s">
        <v>554</v>
      </c>
      <c r="B1765" s="635">
        <v>20.95</v>
      </c>
      <c r="C1765" s="636">
        <v>1769</v>
      </c>
      <c r="D1765" s="636">
        <v>37060.550000000003</v>
      </c>
      <c r="E1765" s="603"/>
    </row>
    <row r="1766" spans="1:5" x14ac:dyDescent="0.3">
      <c r="A1766" s="635" t="s">
        <v>2305</v>
      </c>
      <c r="B1766" s="635">
        <v>20.95</v>
      </c>
      <c r="C1766" s="636">
        <v>222</v>
      </c>
      <c r="D1766" s="636">
        <v>4650.8999999999996</v>
      </c>
      <c r="E1766" s="603"/>
    </row>
    <row r="1767" spans="1:5" x14ac:dyDescent="0.3">
      <c r="A1767" s="635" t="s">
        <v>2304</v>
      </c>
      <c r="B1767" s="635">
        <v>20.95</v>
      </c>
      <c r="C1767" s="636">
        <v>349</v>
      </c>
      <c r="D1767" s="636">
        <v>7311.55</v>
      </c>
      <c r="E1767" s="603"/>
    </row>
    <row r="1768" spans="1:5" x14ac:dyDescent="0.3">
      <c r="A1768" s="635" t="s">
        <v>2303</v>
      </c>
      <c r="B1768" s="635">
        <v>21.62</v>
      </c>
      <c r="C1768" s="636">
        <v>2252</v>
      </c>
      <c r="D1768" s="636">
        <v>48688.240000000013</v>
      </c>
      <c r="E1768" s="603"/>
    </row>
    <row r="1769" spans="1:5" x14ac:dyDescent="0.3">
      <c r="A1769" s="635" t="s">
        <v>2302</v>
      </c>
      <c r="B1769" s="635">
        <v>20.57</v>
      </c>
      <c r="C1769" s="636">
        <v>1900</v>
      </c>
      <c r="D1769" s="636">
        <v>39083</v>
      </c>
      <c r="E1769" s="603"/>
    </row>
    <row r="1770" spans="1:5" x14ac:dyDescent="0.3">
      <c r="A1770" s="635" t="s">
        <v>2301</v>
      </c>
      <c r="B1770" s="635">
        <v>20.57</v>
      </c>
      <c r="C1770" s="636">
        <v>460</v>
      </c>
      <c r="D1770" s="636">
        <v>9462.2000000000007</v>
      </c>
      <c r="E1770" s="603"/>
    </row>
    <row r="1771" spans="1:5" x14ac:dyDescent="0.3">
      <c r="A1771" s="635" t="s">
        <v>2300</v>
      </c>
      <c r="B1771" s="635">
        <v>20.059999999999999</v>
      </c>
      <c r="C1771" s="636">
        <v>1430</v>
      </c>
      <c r="D1771" s="636">
        <v>28685.8</v>
      </c>
      <c r="E1771" s="603"/>
    </row>
    <row r="1772" spans="1:5" x14ac:dyDescent="0.3">
      <c r="A1772" s="635" t="s">
        <v>2299</v>
      </c>
      <c r="B1772" s="635">
        <v>19.84</v>
      </c>
      <c r="C1772" s="636">
        <v>988</v>
      </c>
      <c r="D1772" s="636">
        <v>19601.919999999998</v>
      </c>
      <c r="E1772" s="603"/>
    </row>
    <row r="1773" spans="1:5" x14ac:dyDescent="0.3">
      <c r="A1773" s="635" t="s">
        <v>2298</v>
      </c>
      <c r="B1773" s="635">
        <v>20.72</v>
      </c>
      <c r="C1773" s="636">
        <v>1250</v>
      </c>
      <c r="D1773" s="636">
        <v>25900</v>
      </c>
      <c r="E1773" s="603"/>
    </row>
    <row r="1774" spans="1:5" x14ac:dyDescent="0.3">
      <c r="A1774" s="635" t="s">
        <v>2297</v>
      </c>
      <c r="B1774" s="635">
        <v>20.22</v>
      </c>
      <c r="C1774" s="636">
        <v>709</v>
      </c>
      <c r="D1774" s="636">
        <v>14335.98</v>
      </c>
      <c r="E1774" s="603"/>
    </row>
    <row r="1775" spans="1:5" x14ac:dyDescent="0.3">
      <c r="A1775" s="635" t="s">
        <v>2296</v>
      </c>
      <c r="B1775" s="635">
        <v>20.010000000000002</v>
      </c>
      <c r="C1775" s="636">
        <v>5596</v>
      </c>
      <c r="D1775" s="636">
        <v>111975.96</v>
      </c>
      <c r="E1775" s="603"/>
    </row>
    <row r="1776" spans="1:5" x14ac:dyDescent="0.3">
      <c r="A1776" s="635" t="s">
        <v>2295</v>
      </c>
      <c r="B1776" s="635">
        <v>20</v>
      </c>
      <c r="C1776" s="636">
        <v>500</v>
      </c>
      <c r="D1776" s="636">
        <v>10000</v>
      </c>
      <c r="E1776" s="603"/>
    </row>
    <row r="1777" spans="1:5" x14ac:dyDescent="0.3">
      <c r="A1777" s="635" t="s">
        <v>2294</v>
      </c>
      <c r="B1777" s="635">
        <v>19.89</v>
      </c>
      <c r="C1777" s="636">
        <v>2220</v>
      </c>
      <c r="D1777" s="636">
        <v>44155.8</v>
      </c>
      <c r="E1777" s="603"/>
    </row>
    <row r="1778" spans="1:5" x14ac:dyDescent="0.3">
      <c r="A1778" s="635" t="s">
        <v>2293</v>
      </c>
      <c r="B1778" s="635">
        <v>19.89</v>
      </c>
      <c r="C1778" s="636">
        <v>400</v>
      </c>
      <c r="D1778" s="636">
        <v>7956</v>
      </c>
      <c r="E1778" s="603"/>
    </row>
    <row r="1779" spans="1:5" x14ac:dyDescent="0.3">
      <c r="A1779" s="635" t="s">
        <v>2292</v>
      </c>
      <c r="B1779" s="635">
        <v>19.84</v>
      </c>
      <c r="C1779" s="636">
        <v>1100</v>
      </c>
      <c r="D1779" s="636">
        <v>21824</v>
      </c>
      <c r="E1779" s="603"/>
    </row>
    <row r="1780" spans="1:5" x14ac:dyDescent="0.3">
      <c r="A1780" s="635" t="s">
        <v>2291</v>
      </c>
      <c r="B1780" s="635">
        <v>19.72</v>
      </c>
      <c r="C1780" s="636">
        <v>1973</v>
      </c>
      <c r="D1780" s="636">
        <v>38907.56</v>
      </c>
      <c r="E1780" s="603"/>
    </row>
    <row r="1781" spans="1:5" x14ac:dyDescent="0.3">
      <c r="A1781" s="635" t="s">
        <v>2290</v>
      </c>
      <c r="B1781" s="635">
        <v>19.559999999999999</v>
      </c>
      <c r="C1781" s="636">
        <v>1035</v>
      </c>
      <c r="D1781" s="636">
        <v>20244.599999999999</v>
      </c>
      <c r="E1781" s="603"/>
    </row>
    <row r="1782" spans="1:5" x14ac:dyDescent="0.3">
      <c r="A1782" s="635" t="s">
        <v>555</v>
      </c>
      <c r="B1782" s="635">
        <v>19.21</v>
      </c>
      <c r="C1782" s="636">
        <v>2200</v>
      </c>
      <c r="D1782" s="636">
        <v>42262</v>
      </c>
      <c r="E1782" s="603"/>
    </row>
    <row r="1783" spans="1:5" x14ac:dyDescent="0.3">
      <c r="A1783" s="635" t="s">
        <v>2289</v>
      </c>
      <c r="B1783" s="635">
        <v>19.5</v>
      </c>
      <c r="C1783" s="636">
        <v>750</v>
      </c>
      <c r="D1783" s="636">
        <v>14625</v>
      </c>
      <c r="E1783" s="603"/>
    </row>
    <row r="1784" spans="1:5" x14ac:dyDescent="0.3">
      <c r="A1784" s="635" t="s">
        <v>2288</v>
      </c>
      <c r="B1784" s="635">
        <v>19.510000000000002</v>
      </c>
      <c r="C1784" s="636">
        <v>888</v>
      </c>
      <c r="D1784" s="636">
        <v>17324.88</v>
      </c>
      <c r="E1784" s="603"/>
    </row>
    <row r="1785" spans="1:5" x14ac:dyDescent="0.3">
      <c r="A1785" s="635" t="s">
        <v>2287</v>
      </c>
      <c r="B1785" s="635">
        <v>19.52</v>
      </c>
      <c r="C1785" s="636">
        <v>990</v>
      </c>
      <c r="D1785" s="636">
        <v>19324.8</v>
      </c>
      <c r="E1785" s="603"/>
    </row>
    <row r="1786" spans="1:5" x14ac:dyDescent="0.3">
      <c r="A1786" s="635" t="s">
        <v>2286</v>
      </c>
      <c r="B1786" s="635">
        <v>19.52</v>
      </c>
      <c r="C1786" s="636">
        <v>247</v>
      </c>
      <c r="D1786" s="636">
        <v>4821.4399999999996</v>
      </c>
      <c r="E1786" s="603"/>
    </row>
    <row r="1787" spans="1:5" x14ac:dyDescent="0.3">
      <c r="A1787" s="635" t="s">
        <v>2285</v>
      </c>
      <c r="B1787" s="635">
        <v>19.55</v>
      </c>
      <c r="C1787" s="636">
        <v>2204</v>
      </c>
      <c r="D1787" s="636">
        <v>43088.2</v>
      </c>
      <c r="E1787" s="603"/>
    </row>
    <row r="1788" spans="1:5" x14ac:dyDescent="0.3">
      <c r="A1788" s="635" t="s">
        <v>2284</v>
      </c>
      <c r="B1788" s="635">
        <v>19.600000000000001</v>
      </c>
      <c r="C1788" s="636">
        <v>596</v>
      </c>
      <c r="D1788" s="636">
        <v>11681.6</v>
      </c>
      <c r="E1788" s="603"/>
    </row>
    <row r="1789" spans="1:5" x14ac:dyDescent="0.3">
      <c r="A1789" s="635" t="s">
        <v>2283</v>
      </c>
      <c r="B1789" s="635">
        <v>19.38</v>
      </c>
      <c r="C1789" s="636">
        <v>1600</v>
      </c>
      <c r="D1789" s="636">
        <v>31008</v>
      </c>
      <c r="E1789" s="603"/>
    </row>
    <row r="1790" spans="1:5" x14ac:dyDescent="0.3">
      <c r="A1790" s="635" t="s">
        <v>2282</v>
      </c>
      <c r="B1790" s="635">
        <v>19.38</v>
      </c>
      <c r="C1790" s="636">
        <v>299</v>
      </c>
      <c r="D1790" s="636">
        <v>5794.62</v>
      </c>
      <c r="E1790" s="603"/>
    </row>
    <row r="1791" spans="1:5" x14ac:dyDescent="0.3">
      <c r="A1791" s="635" t="s">
        <v>2281</v>
      </c>
      <c r="B1791" s="635">
        <v>19.66</v>
      </c>
      <c r="C1791" s="636">
        <v>957</v>
      </c>
      <c r="D1791" s="636">
        <v>18814.62</v>
      </c>
      <c r="E1791" s="603"/>
    </row>
    <row r="1792" spans="1:5" x14ac:dyDescent="0.3">
      <c r="A1792" s="635" t="s">
        <v>2280</v>
      </c>
      <c r="B1792" s="635">
        <v>19.670000000000002</v>
      </c>
      <c r="C1792" s="636">
        <v>2000</v>
      </c>
      <c r="D1792" s="636">
        <v>39340</v>
      </c>
      <c r="E1792" s="603"/>
    </row>
    <row r="1793" spans="1:5" x14ac:dyDescent="0.3">
      <c r="A1793" s="635" t="s">
        <v>2279</v>
      </c>
      <c r="B1793" s="635">
        <v>19.670000000000002</v>
      </c>
      <c r="C1793" s="636">
        <v>100</v>
      </c>
      <c r="D1793" s="636">
        <v>1967</v>
      </c>
      <c r="E1793" s="603"/>
    </row>
    <row r="1794" spans="1:5" x14ac:dyDescent="0.3">
      <c r="A1794" s="635" t="s">
        <v>2278</v>
      </c>
      <c r="B1794" s="635">
        <v>19.670000000000002</v>
      </c>
      <c r="C1794" s="636">
        <v>100</v>
      </c>
      <c r="D1794" s="636">
        <v>1967</v>
      </c>
      <c r="E1794" s="603"/>
    </row>
    <row r="1795" spans="1:5" x14ac:dyDescent="0.3">
      <c r="A1795" s="635" t="s">
        <v>2277</v>
      </c>
      <c r="B1795" s="635">
        <v>19.600000000000001</v>
      </c>
      <c r="C1795" s="636">
        <v>555</v>
      </c>
      <c r="D1795" s="636">
        <v>10878</v>
      </c>
      <c r="E1795" s="603"/>
    </row>
    <row r="1796" spans="1:5" x14ac:dyDescent="0.3">
      <c r="A1796" s="635" t="s">
        <v>2276</v>
      </c>
      <c r="B1796" s="635">
        <v>19.600000000000001</v>
      </c>
      <c r="C1796" s="636">
        <v>336</v>
      </c>
      <c r="D1796" s="636">
        <v>6585.6</v>
      </c>
      <c r="E1796" s="603"/>
    </row>
    <row r="1797" spans="1:5" x14ac:dyDescent="0.3">
      <c r="A1797" s="635" t="s">
        <v>556</v>
      </c>
      <c r="B1797" s="635">
        <v>19.3</v>
      </c>
      <c r="C1797" s="636">
        <v>2025</v>
      </c>
      <c r="D1797" s="636">
        <v>39082.5</v>
      </c>
      <c r="E1797" s="603"/>
    </row>
    <row r="1798" spans="1:5" x14ac:dyDescent="0.3">
      <c r="A1798" s="635" t="s">
        <v>2275</v>
      </c>
      <c r="B1798" s="635">
        <v>19.3</v>
      </c>
      <c r="C1798" s="636">
        <v>129</v>
      </c>
      <c r="D1798" s="636">
        <v>2489.6999999999998</v>
      </c>
      <c r="E1798" s="603"/>
    </row>
    <row r="1799" spans="1:5" x14ac:dyDescent="0.3">
      <c r="A1799" s="635" t="s">
        <v>2274</v>
      </c>
      <c r="B1799" s="635">
        <v>19</v>
      </c>
      <c r="C1799" s="636">
        <v>650</v>
      </c>
      <c r="D1799" s="636">
        <v>12350</v>
      </c>
      <c r="E1799" s="603"/>
    </row>
    <row r="1800" spans="1:5" x14ac:dyDescent="0.3">
      <c r="A1800" s="635" t="s">
        <v>2273</v>
      </c>
      <c r="B1800" s="635">
        <v>19.04</v>
      </c>
      <c r="C1800" s="636">
        <v>6400</v>
      </c>
      <c r="D1800" s="636">
        <v>121856</v>
      </c>
      <c r="E1800" s="603"/>
    </row>
    <row r="1801" spans="1:5" x14ac:dyDescent="0.3">
      <c r="A1801" s="635" t="s">
        <v>2272</v>
      </c>
      <c r="B1801" s="635">
        <v>19.100000000000001</v>
      </c>
      <c r="C1801" s="636">
        <v>1000</v>
      </c>
      <c r="D1801" s="636">
        <v>19100</v>
      </c>
      <c r="E1801" s="603"/>
    </row>
    <row r="1802" spans="1:5" x14ac:dyDescent="0.3">
      <c r="A1802" s="635" t="s">
        <v>2271</v>
      </c>
      <c r="B1802" s="635">
        <v>19.02</v>
      </c>
      <c r="C1802" s="636">
        <v>3600</v>
      </c>
      <c r="D1802" s="636">
        <v>68472</v>
      </c>
      <c r="E1802" s="603"/>
    </row>
    <row r="1803" spans="1:5" x14ac:dyDescent="0.3">
      <c r="A1803" s="635" t="s">
        <v>2270</v>
      </c>
      <c r="B1803" s="635">
        <v>19.02</v>
      </c>
      <c r="C1803" s="636">
        <v>100</v>
      </c>
      <c r="D1803" s="636">
        <v>1902</v>
      </c>
      <c r="E1803" s="603"/>
    </row>
    <row r="1804" spans="1:5" x14ac:dyDescent="0.3">
      <c r="A1804" s="635" t="s">
        <v>557</v>
      </c>
      <c r="B1804" s="635">
        <v>19.02</v>
      </c>
      <c r="C1804" s="636">
        <v>219</v>
      </c>
      <c r="D1804" s="636">
        <v>4165.38</v>
      </c>
      <c r="E1804" s="603"/>
    </row>
    <row r="1805" spans="1:5" x14ac:dyDescent="0.3">
      <c r="A1805" s="635" t="s">
        <v>2269</v>
      </c>
      <c r="B1805" s="635">
        <v>19.02</v>
      </c>
      <c r="C1805" s="636">
        <v>250</v>
      </c>
      <c r="D1805" s="636">
        <v>4755</v>
      </c>
      <c r="E1805" s="603"/>
    </row>
    <row r="1806" spans="1:5" x14ac:dyDescent="0.3">
      <c r="A1806" s="635" t="s">
        <v>2268</v>
      </c>
      <c r="B1806" s="635">
        <v>19.28</v>
      </c>
      <c r="C1806" s="636">
        <v>1435</v>
      </c>
      <c r="D1806" s="636">
        <v>27666.799999999999</v>
      </c>
      <c r="E1806" s="603"/>
    </row>
    <row r="1807" spans="1:5" x14ac:dyDescent="0.3">
      <c r="A1807" s="635" t="s">
        <v>2267</v>
      </c>
      <c r="B1807" s="635">
        <v>19.28</v>
      </c>
      <c r="C1807" s="636">
        <v>100</v>
      </c>
      <c r="D1807" s="636">
        <v>1928</v>
      </c>
      <c r="E1807" s="603"/>
    </row>
    <row r="1808" spans="1:5" x14ac:dyDescent="0.3">
      <c r="A1808" s="635" t="s">
        <v>2266</v>
      </c>
      <c r="B1808" s="635">
        <v>19.04</v>
      </c>
      <c r="C1808" s="636">
        <v>850</v>
      </c>
      <c r="D1808" s="636">
        <v>16184</v>
      </c>
      <c r="E1808" s="603"/>
    </row>
    <row r="1809" spans="1:5" x14ac:dyDescent="0.3">
      <c r="A1809" s="635" t="s">
        <v>2265</v>
      </c>
      <c r="B1809" s="635">
        <v>19.73</v>
      </c>
      <c r="C1809" s="636">
        <v>531</v>
      </c>
      <c r="D1809" s="636">
        <v>10476.629999999999</v>
      </c>
      <c r="E1809" s="603"/>
    </row>
    <row r="1810" spans="1:5" x14ac:dyDescent="0.3">
      <c r="A1810" s="635" t="s">
        <v>2264</v>
      </c>
      <c r="B1810" s="635">
        <v>19.73</v>
      </c>
      <c r="C1810" s="636">
        <v>571</v>
      </c>
      <c r="D1810" s="636">
        <v>11265.83</v>
      </c>
      <c r="E1810" s="603"/>
    </row>
    <row r="1811" spans="1:5" x14ac:dyDescent="0.3">
      <c r="A1811" s="635" t="s">
        <v>2263</v>
      </c>
      <c r="B1811" s="635">
        <v>19.28</v>
      </c>
      <c r="C1811" s="636">
        <v>1087</v>
      </c>
      <c r="D1811" s="636">
        <v>20957.36</v>
      </c>
      <c r="E1811" s="603"/>
    </row>
    <row r="1812" spans="1:5" x14ac:dyDescent="0.3">
      <c r="A1812" s="635" t="s">
        <v>2262</v>
      </c>
      <c r="B1812" s="635">
        <v>19.28</v>
      </c>
      <c r="C1812" s="636">
        <v>348</v>
      </c>
      <c r="D1812" s="636">
        <v>6709.4400000000014</v>
      </c>
      <c r="E1812" s="603"/>
    </row>
    <row r="1813" spans="1:5" x14ac:dyDescent="0.3">
      <c r="A1813" s="635" t="s">
        <v>2261</v>
      </c>
      <c r="B1813" s="635">
        <v>18.010000000000002</v>
      </c>
      <c r="C1813" s="636">
        <v>2250</v>
      </c>
      <c r="D1813" s="636">
        <v>40522.5</v>
      </c>
      <c r="E1813" s="603"/>
    </row>
    <row r="1814" spans="1:5" x14ac:dyDescent="0.3">
      <c r="A1814" s="635" t="s">
        <v>2260</v>
      </c>
      <c r="B1814" s="635">
        <v>18.010000000000002</v>
      </c>
      <c r="C1814" s="636">
        <v>200</v>
      </c>
      <c r="D1814" s="636">
        <v>3602</v>
      </c>
      <c r="E1814" s="603"/>
    </row>
    <row r="1815" spans="1:5" x14ac:dyDescent="0.3">
      <c r="A1815" s="635" t="s">
        <v>2259</v>
      </c>
      <c r="B1815" s="635">
        <v>18.55</v>
      </c>
      <c r="C1815" s="636">
        <v>564</v>
      </c>
      <c r="D1815" s="636">
        <v>10462.200000000001</v>
      </c>
      <c r="E1815" s="603"/>
    </row>
    <row r="1816" spans="1:5" x14ac:dyDescent="0.3">
      <c r="A1816" s="635" t="s">
        <v>558</v>
      </c>
      <c r="B1816" s="635">
        <v>18.55</v>
      </c>
      <c r="C1816" s="636">
        <v>32</v>
      </c>
      <c r="D1816" s="636">
        <v>593.6</v>
      </c>
      <c r="E1816" s="603"/>
    </row>
    <row r="1817" spans="1:5" x14ac:dyDescent="0.3">
      <c r="A1817" s="635" t="s">
        <v>2258</v>
      </c>
      <c r="B1817" s="635">
        <v>18.600000000000001</v>
      </c>
      <c r="C1817" s="636">
        <v>676</v>
      </c>
      <c r="D1817" s="636">
        <v>12573.6</v>
      </c>
      <c r="E1817" s="603"/>
    </row>
    <row r="1818" spans="1:5" x14ac:dyDescent="0.3">
      <c r="A1818" s="635" t="s">
        <v>2257</v>
      </c>
      <c r="B1818" s="635">
        <v>18.64</v>
      </c>
      <c r="C1818" s="636">
        <v>1000</v>
      </c>
      <c r="D1818" s="636">
        <v>18640</v>
      </c>
      <c r="E1818" s="603"/>
    </row>
    <row r="1819" spans="1:5" x14ac:dyDescent="0.3">
      <c r="A1819" s="635" t="s">
        <v>2256</v>
      </c>
      <c r="B1819" s="635">
        <v>18.64</v>
      </c>
      <c r="C1819" s="636">
        <v>100</v>
      </c>
      <c r="D1819" s="636">
        <v>1864</v>
      </c>
      <c r="E1819" s="603"/>
    </row>
    <row r="1820" spans="1:5" x14ac:dyDescent="0.3">
      <c r="A1820" s="635" t="s">
        <v>2255</v>
      </c>
      <c r="B1820" s="635">
        <v>18.64</v>
      </c>
      <c r="C1820" s="636">
        <v>775</v>
      </c>
      <c r="D1820" s="636">
        <v>14446</v>
      </c>
      <c r="E1820" s="603"/>
    </row>
    <row r="1821" spans="1:5" x14ac:dyDescent="0.3">
      <c r="A1821" s="635" t="s">
        <v>2254</v>
      </c>
      <c r="B1821" s="635">
        <v>18.64</v>
      </c>
      <c r="C1821" s="636">
        <v>15749</v>
      </c>
      <c r="D1821" s="636">
        <v>293561.36</v>
      </c>
      <c r="E1821" s="603"/>
    </row>
    <row r="1822" spans="1:5" x14ac:dyDescent="0.3">
      <c r="A1822" s="635" t="s">
        <v>2253</v>
      </c>
      <c r="B1822" s="635">
        <v>18.64</v>
      </c>
      <c r="C1822" s="636">
        <v>2110</v>
      </c>
      <c r="D1822" s="636">
        <v>39330.400000000001</v>
      </c>
      <c r="E1822" s="603"/>
    </row>
    <row r="1823" spans="1:5" x14ac:dyDescent="0.3">
      <c r="A1823" s="635" t="s">
        <v>2252</v>
      </c>
      <c r="B1823" s="635">
        <v>18.7</v>
      </c>
      <c r="C1823" s="636">
        <v>1750</v>
      </c>
      <c r="D1823" s="636">
        <v>32725</v>
      </c>
      <c r="E1823" s="603"/>
    </row>
    <row r="1824" spans="1:5" x14ac:dyDescent="0.3">
      <c r="A1824" s="635" t="s">
        <v>2251</v>
      </c>
      <c r="B1824" s="635">
        <v>18.7</v>
      </c>
      <c r="C1824" s="636">
        <v>200</v>
      </c>
      <c r="D1824" s="636">
        <v>3740</v>
      </c>
      <c r="E1824" s="603"/>
    </row>
    <row r="1825" spans="1:5" x14ac:dyDescent="0.3">
      <c r="A1825" s="635" t="s">
        <v>2250</v>
      </c>
      <c r="B1825" s="635">
        <v>18.7</v>
      </c>
      <c r="C1825" s="636">
        <v>199</v>
      </c>
      <c r="D1825" s="636">
        <v>3721.3</v>
      </c>
      <c r="E1825" s="603"/>
    </row>
    <row r="1826" spans="1:5" x14ac:dyDescent="0.3">
      <c r="A1826" s="635" t="s">
        <v>559</v>
      </c>
      <c r="B1826" s="635">
        <v>18.7</v>
      </c>
      <c r="C1826" s="636">
        <v>32</v>
      </c>
      <c r="D1826" s="636">
        <v>598.4</v>
      </c>
      <c r="E1826" s="603"/>
    </row>
    <row r="1827" spans="1:5" x14ac:dyDescent="0.3">
      <c r="A1827" s="635" t="s">
        <v>2249</v>
      </c>
      <c r="B1827" s="635">
        <v>18.75</v>
      </c>
      <c r="C1827" s="636">
        <v>1006</v>
      </c>
      <c r="D1827" s="636">
        <v>18862.5</v>
      </c>
      <c r="E1827" s="603"/>
    </row>
    <row r="1828" spans="1:5" x14ac:dyDescent="0.3">
      <c r="A1828" s="635" t="s">
        <v>2248</v>
      </c>
      <c r="B1828" s="635">
        <v>18.75</v>
      </c>
      <c r="C1828" s="636">
        <v>550</v>
      </c>
      <c r="D1828" s="636">
        <v>10312.5</v>
      </c>
      <c r="E1828" s="603"/>
    </row>
    <row r="1829" spans="1:5" x14ac:dyDescent="0.3">
      <c r="A1829" s="635" t="s">
        <v>2247</v>
      </c>
      <c r="B1829" s="635">
        <v>19</v>
      </c>
      <c r="C1829" s="636">
        <v>832</v>
      </c>
      <c r="D1829" s="636">
        <v>15808</v>
      </c>
      <c r="E1829" s="603"/>
    </row>
    <row r="1830" spans="1:5" x14ac:dyDescent="0.3">
      <c r="A1830" s="635" t="s">
        <v>2246</v>
      </c>
      <c r="B1830" s="635">
        <v>19</v>
      </c>
      <c r="C1830" s="636">
        <v>56</v>
      </c>
      <c r="D1830" s="636">
        <v>1064</v>
      </c>
      <c r="E1830" s="603"/>
    </row>
    <row r="1831" spans="1:5" x14ac:dyDescent="0.3">
      <c r="A1831" s="635" t="s">
        <v>2245</v>
      </c>
      <c r="B1831" s="635">
        <v>17.93</v>
      </c>
      <c r="C1831" s="636">
        <v>6542</v>
      </c>
      <c r="D1831" s="636">
        <v>117298.06</v>
      </c>
      <c r="E1831" s="603"/>
    </row>
    <row r="1832" spans="1:5" x14ac:dyDescent="0.3">
      <c r="A1832" s="635" t="s">
        <v>2244</v>
      </c>
      <c r="B1832" s="635">
        <v>18</v>
      </c>
      <c r="C1832" s="636">
        <v>7361</v>
      </c>
      <c r="D1832" s="636">
        <v>132498</v>
      </c>
      <c r="E1832" s="603"/>
    </row>
    <row r="1833" spans="1:5" x14ac:dyDescent="0.3">
      <c r="A1833" s="635" t="s">
        <v>2967</v>
      </c>
      <c r="B1833" s="635">
        <v>18</v>
      </c>
      <c r="C1833" s="636">
        <v>21080</v>
      </c>
      <c r="D1833" s="636">
        <v>379440</v>
      </c>
      <c r="E1833" s="603"/>
    </row>
    <row r="1834" spans="1:5" x14ac:dyDescent="0.3">
      <c r="A1834" s="635" t="s">
        <v>2243</v>
      </c>
      <c r="B1834" s="635">
        <v>18.100000000000001</v>
      </c>
      <c r="C1834" s="636">
        <v>1706</v>
      </c>
      <c r="D1834" s="636">
        <v>30878.6</v>
      </c>
      <c r="E1834" s="603"/>
    </row>
    <row r="1835" spans="1:5" x14ac:dyDescent="0.3">
      <c r="A1835" s="635" t="s">
        <v>2242</v>
      </c>
      <c r="B1835" s="635">
        <v>17.97</v>
      </c>
      <c r="C1835" s="636">
        <v>990</v>
      </c>
      <c r="D1835" s="636">
        <v>17790.3</v>
      </c>
      <c r="E1835" s="603"/>
    </row>
    <row r="1836" spans="1:5" x14ac:dyDescent="0.3">
      <c r="A1836" s="635" t="s">
        <v>2241</v>
      </c>
      <c r="B1836" s="635">
        <v>17.809999999999999</v>
      </c>
      <c r="C1836" s="636">
        <v>1500</v>
      </c>
      <c r="D1836" s="636">
        <v>26715</v>
      </c>
      <c r="E1836" s="603"/>
    </row>
    <row r="1837" spans="1:5" x14ac:dyDescent="0.3">
      <c r="A1837" s="635" t="s">
        <v>2240</v>
      </c>
      <c r="B1837" s="635">
        <v>17.809999999999999</v>
      </c>
      <c r="C1837" s="636">
        <v>32</v>
      </c>
      <c r="D1837" s="636">
        <v>569.91999999999996</v>
      </c>
      <c r="E1837" s="603"/>
    </row>
    <row r="1838" spans="1:5" x14ac:dyDescent="0.3">
      <c r="A1838" s="635" t="s">
        <v>2239</v>
      </c>
      <c r="B1838" s="635">
        <v>17.809999999999999</v>
      </c>
      <c r="C1838" s="636">
        <v>100</v>
      </c>
      <c r="D1838" s="636">
        <v>1781</v>
      </c>
      <c r="E1838" s="603"/>
    </row>
    <row r="1839" spans="1:5" x14ac:dyDescent="0.3">
      <c r="A1839" s="635" t="s">
        <v>560</v>
      </c>
      <c r="B1839" s="635">
        <v>17.8</v>
      </c>
      <c r="C1839" s="636">
        <v>2604</v>
      </c>
      <c r="D1839" s="636">
        <v>46351.199999999997</v>
      </c>
      <c r="E1839" s="603"/>
    </row>
    <row r="1840" spans="1:5" x14ac:dyDescent="0.3">
      <c r="A1840" s="635" t="s">
        <v>2238</v>
      </c>
      <c r="B1840" s="635">
        <v>17.72</v>
      </c>
      <c r="C1840" s="636">
        <v>3400</v>
      </c>
      <c r="D1840" s="636">
        <v>60247.999999999993</v>
      </c>
      <c r="E1840" s="603"/>
    </row>
    <row r="1841" spans="1:5" x14ac:dyDescent="0.3">
      <c r="A1841" s="635" t="s">
        <v>2237</v>
      </c>
      <c r="B1841" s="635">
        <v>17.62</v>
      </c>
      <c r="C1841" s="636">
        <v>2420</v>
      </c>
      <c r="D1841" s="636">
        <v>42640.4</v>
      </c>
      <c r="E1841" s="603"/>
    </row>
    <row r="1842" spans="1:5" x14ac:dyDescent="0.3">
      <c r="A1842" s="635" t="s">
        <v>2236</v>
      </c>
      <c r="B1842" s="635">
        <v>17.07</v>
      </c>
      <c r="C1842" s="636">
        <v>126316</v>
      </c>
      <c r="D1842" s="636">
        <v>2156214.12</v>
      </c>
      <c r="E1842" s="603"/>
    </row>
    <row r="1843" spans="1:5" x14ac:dyDescent="0.3">
      <c r="A1843" s="635" t="s">
        <v>2235</v>
      </c>
      <c r="B1843" s="635">
        <v>17.21</v>
      </c>
      <c r="C1843" s="636">
        <v>16644</v>
      </c>
      <c r="D1843" s="636">
        <v>286443.24</v>
      </c>
      <c r="E1843" s="603"/>
    </row>
    <row r="1844" spans="1:5" x14ac:dyDescent="0.3">
      <c r="A1844" s="635" t="s">
        <v>2234</v>
      </c>
      <c r="B1844" s="635">
        <v>17</v>
      </c>
      <c r="C1844" s="636">
        <v>22384</v>
      </c>
      <c r="D1844" s="636">
        <v>380528</v>
      </c>
      <c r="E1844" s="603"/>
    </row>
    <row r="1845" spans="1:5" x14ac:dyDescent="0.3">
      <c r="A1845" s="635" t="s">
        <v>2233</v>
      </c>
      <c r="B1845" s="635">
        <v>16.54</v>
      </c>
      <c r="C1845" s="636">
        <v>5029</v>
      </c>
      <c r="D1845" s="636">
        <v>83179.659999999989</v>
      </c>
      <c r="E1845" s="603"/>
    </row>
    <row r="1846" spans="1:5" x14ac:dyDescent="0.3">
      <c r="A1846" s="635" t="s">
        <v>2232</v>
      </c>
      <c r="B1846" s="635">
        <v>16.690000000000001</v>
      </c>
      <c r="C1846" s="636">
        <v>3320</v>
      </c>
      <c r="D1846" s="636">
        <v>55410.8</v>
      </c>
      <c r="E1846" s="603"/>
    </row>
    <row r="1847" spans="1:5" x14ac:dyDescent="0.3">
      <c r="A1847" s="635" t="s">
        <v>2231</v>
      </c>
      <c r="B1847" s="635">
        <v>16.46</v>
      </c>
      <c r="C1847" s="636">
        <v>10000</v>
      </c>
      <c r="D1847" s="636">
        <v>164600</v>
      </c>
      <c r="E1847" s="603"/>
    </row>
    <row r="1848" spans="1:5" x14ac:dyDescent="0.3">
      <c r="A1848" s="635" t="s">
        <v>2230</v>
      </c>
      <c r="B1848" s="635">
        <v>15.61</v>
      </c>
      <c r="C1848" s="636">
        <v>1500</v>
      </c>
      <c r="D1848" s="636">
        <v>23415</v>
      </c>
      <c r="E1848" s="603"/>
    </row>
    <row r="1849" spans="1:5" x14ac:dyDescent="0.3">
      <c r="A1849" s="635" t="s">
        <v>2229</v>
      </c>
      <c r="B1849" s="635">
        <v>15.61</v>
      </c>
      <c r="C1849" s="636">
        <v>395</v>
      </c>
      <c r="D1849" s="636">
        <v>6165.95</v>
      </c>
      <c r="E1849" s="603"/>
    </row>
    <row r="1850" spans="1:5" x14ac:dyDescent="0.3">
      <c r="A1850" s="635" t="s">
        <v>2228</v>
      </c>
      <c r="B1850" s="635">
        <v>16.13</v>
      </c>
      <c r="C1850" s="636">
        <v>2060</v>
      </c>
      <c r="D1850" s="636">
        <v>33227.800000000003</v>
      </c>
      <c r="E1850" s="603"/>
    </row>
    <row r="1851" spans="1:5" x14ac:dyDescent="0.3">
      <c r="A1851" s="635" t="s">
        <v>2227</v>
      </c>
      <c r="B1851" s="635">
        <v>16.13</v>
      </c>
      <c r="C1851" s="636">
        <v>546</v>
      </c>
      <c r="D1851" s="636">
        <v>8806.98</v>
      </c>
      <c r="E1851" s="603"/>
    </row>
    <row r="1852" spans="1:5" x14ac:dyDescent="0.3">
      <c r="A1852" s="635" t="s">
        <v>2226</v>
      </c>
      <c r="B1852" s="635">
        <v>16.170000000000002</v>
      </c>
      <c r="C1852" s="636">
        <v>3014</v>
      </c>
      <c r="D1852" s="636">
        <v>48736.38</v>
      </c>
      <c r="E1852" s="603"/>
    </row>
    <row r="1853" spans="1:5" x14ac:dyDescent="0.3">
      <c r="A1853" s="635" t="s">
        <v>2225</v>
      </c>
      <c r="B1853" s="635">
        <v>16</v>
      </c>
      <c r="C1853" s="636">
        <v>3875</v>
      </c>
      <c r="D1853" s="636">
        <v>62000</v>
      </c>
      <c r="E1853" s="603"/>
    </row>
    <row r="1854" spans="1:5" x14ac:dyDescent="0.3">
      <c r="A1854" s="635" t="s">
        <v>2224</v>
      </c>
      <c r="B1854" s="635">
        <v>16.010000000000002</v>
      </c>
      <c r="C1854" s="636">
        <v>4065</v>
      </c>
      <c r="D1854" s="636">
        <v>65080.650000000009</v>
      </c>
      <c r="E1854" s="603"/>
    </row>
    <row r="1855" spans="1:5" x14ac:dyDescent="0.3">
      <c r="A1855" s="635" t="s">
        <v>2223</v>
      </c>
      <c r="B1855" s="635">
        <v>16.03</v>
      </c>
      <c r="C1855" s="636">
        <v>2800</v>
      </c>
      <c r="D1855" s="636">
        <v>44884</v>
      </c>
      <c r="E1855" s="603"/>
    </row>
    <row r="1856" spans="1:5" x14ac:dyDescent="0.3">
      <c r="A1856" s="635" t="s">
        <v>2222</v>
      </c>
      <c r="B1856" s="635">
        <v>16.03</v>
      </c>
      <c r="C1856" s="636">
        <v>38</v>
      </c>
      <c r="D1856" s="636">
        <v>609.1400000000001</v>
      </c>
      <c r="E1856" s="603"/>
    </row>
    <row r="1857" spans="1:5" x14ac:dyDescent="0.3">
      <c r="A1857" s="635" t="s">
        <v>2221</v>
      </c>
      <c r="B1857" s="635">
        <v>16.03</v>
      </c>
      <c r="C1857" s="636">
        <v>140</v>
      </c>
      <c r="D1857" s="636">
        <v>2244.1999999999998</v>
      </c>
      <c r="E1857" s="603"/>
    </row>
    <row r="1858" spans="1:5" x14ac:dyDescent="0.3">
      <c r="A1858" s="635" t="s">
        <v>561</v>
      </c>
      <c r="B1858" s="635">
        <v>16.489999999999998</v>
      </c>
      <c r="C1858" s="636">
        <v>2300</v>
      </c>
      <c r="D1858" s="636">
        <v>37927</v>
      </c>
      <c r="E1858" s="603"/>
    </row>
    <row r="1859" spans="1:5" x14ac:dyDescent="0.3">
      <c r="A1859" s="635" t="s">
        <v>2220</v>
      </c>
      <c r="B1859" s="635">
        <v>16.489999999999998</v>
      </c>
      <c r="C1859" s="636">
        <v>567</v>
      </c>
      <c r="D1859" s="636">
        <v>9349.83</v>
      </c>
      <c r="E1859" s="603"/>
    </row>
    <row r="1860" spans="1:5" x14ac:dyDescent="0.3">
      <c r="A1860" s="635" t="s">
        <v>2219</v>
      </c>
      <c r="B1860" s="635">
        <v>16.489999999999998</v>
      </c>
      <c r="C1860" s="636">
        <v>539</v>
      </c>
      <c r="D1860" s="636">
        <v>8888.1099999999988</v>
      </c>
      <c r="E1860" s="603"/>
    </row>
    <row r="1861" spans="1:5" x14ac:dyDescent="0.3">
      <c r="A1861" s="635" t="s">
        <v>2218</v>
      </c>
      <c r="B1861" s="635">
        <v>16.41</v>
      </c>
      <c r="C1861" s="636">
        <v>2000</v>
      </c>
      <c r="D1861" s="636">
        <v>32820</v>
      </c>
      <c r="E1861" s="603"/>
    </row>
    <row r="1862" spans="1:5" x14ac:dyDescent="0.3">
      <c r="A1862" s="635" t="s">
        <v>2217</v>
      </c>
      <c r="B1862" s="635">
        <v>16.41</v>
      </c>
      <c r="C1862" s="636">
        <v>600</v>
      </c>
      <c r="D1862" s="636">
        <v>9846</v>
      </c>
      <c r="E1862" s="603"/>
    </row>
    <row r="1863" spans="1:5" x14ac:dyDescent="0.3">
      <c r="A1863" s="635" t="s">
        <v>2216</v>
      </c>
      <c r="B1863" s="635">
        <v>16</v>
      </c>
      <c r="C1863" s="636">
        <v>10038</v>
      </c>
      <c r="D1863" s="636">
        <v>160608</v>
      </c>
      <c r="E1863" s="603"/>
    </row>
    <row r="1864" spans="1:5" x14ac:dyDescent="0.3">
      <c r="A1864" s="635" t="s">
        <v>2215</v>
      </c>
      <c r="B1864" s="635">
        <v>15.86</v>
      </c>
      <c r="C1864" s="636">
        <v>1000</v>
      </c>
      <c r="D1864" s="636">
        <v>15860</v>
      </c>
      <c r="E1864" s="603"/>
    </row>
    <row r="1865" spans="1:5" x14ac:dyDescent="0.3">
      <c r="A1865" s="635" t="s">
        <v>2966</v>
      </c>
      <c r="B1865" s="635">
        <v>16</v>
      </c>
      <c r="C1865" s="636">
        <v>1125</v>
      </c>
      <c r="D1865" s="636">
        <v>18000</v>
      </c>
      <c r="E1865" s="603"/>
    </row>
    <row r="1866" spans="1:5" x14ac:dyDescent="0.3">
      <c r="A1866" s="635" t="s">
        <v>2214</v>
      </c>
      <c r="B1866" s="635">
        <v>16</v>
      </c>
      <c r="C1866" s="636">
        <v>32</v>
      </c>
      <c r="D1866" s="636">
        <v>512</v>
      </c>
      <c r="E1866" s="603"/>
    </row>
    <row r="1867" spans="1:5" x14ac:dyDescent="0.3">
      <c r="A1867" s="635" t="s">
        <v>2213</v>
      </c>
      <c r="B1867" s="635">
        <v>15.9</v>
      </c>
      <c r="C1867" s="636">
        <v>2800</v>
      </c>
      <c r="D1867" s="636">
        <v>44520</v>
      </c>
      <c r="E1867" s="603"/>
    </row>
    <row r="1868" spans="1:5" x14ac:dyDescent="0.3">
      <c r="A1868" s="635" t="s">
        <v>2212</v>
      </c>
      <c r="B1868" s="635">
        <v>15.88</v>
      </c>
      <c r="C1868" s="636">
        <v>1200</v>
      </c>
      <c r="D1868" s="636">
        <v>19056</v>
      </c>
      <c r="E1868" s="603"/>
    </row>
    <row r="1869" spans="1:5" x14ac:dyDescent="0.3">
      <c r="A1869" s="635" t="s">
        <v>2211</v>
      </c>
      <c r="B1869" s="635">
        <v>15.85</v>
      </c>
      <c r="C1869" s="636">
        <v>1930</v>
      </c>
      <c r="D1869" s="636">
        <v>30590.5</v>
      </c>
      <c r="E1869" s="603"/>
    </row>
    <row r="1870" spans="1:5" x14ac:dyDescent="0.3">
      <c r="A1870" s="635" t="s">
        <v>2210</v>
      </c>
      <c r="B1870" s="635">
        <v>16</v>
      </c>
      <c r="C1870" s="636">
        <v>6740</v>
      </c>
      <c r="D1870" s="636">
        <v>107840</v>
      </c>
      <c r="E1870" s="603"/>
    </row>
    <row r="1871" spans="1:5" x14ac:dyDescent="0.3">
      <c r="A1871" s="635" t="s">
        <v>2209</v>
      </c>
      <c r="B1871" s="635">
        <v>16</v>
      </c>
      <c r="C1871" s="636">
        <v>2075</v>
      </c>
      <c r="D1871" s="636">
        <v>33200</v>
      </c>
      <c r="E1871" s="603"/>
    </row>
    <row r="1872" spans="1:5" x14ac:dyDescent="0.3">
      <c r="A1872" s="635" t="s">
        <v>2208</v>
      </c>
      <c r="B1872" s="635">
        <v>16</v>
      </c>
      <c r="C1872" s="636">
        <v>2255</v>
      </c>
      <c r="D1872" s="636">
        <v>36080</v>
      </c>
      <c r="E1872" s="603"/>
    </row>
    <row r="1873" spans="1:5" x14ac:dyDescent="0.3">
      <c r="A1873" s="635" t="s">
        <v>2207</v>
      </c>
      <c r="B1873" s="635">
        <v>16.510000000000002</v>
      </c>
      <c r="C1873" s="636">
        <v>4300</v>
      </c>
      <c r="D1873" s="636">
        <v>70993</v>
      </c>
      <c r="E1873" s="603"/>
    </row>
    <row r="1874" spans="1:5" x14ac:dyDescent="0.3">
      <c r="A1874" s="635" t="s">
        <v>2206</v>
      </c>
      <c r="B1874" s="635">
        <v>16.510000000000002</v>
      </c>
      <c r="C1874" s="636">
        <v>500</v>
      </c>
      <c r="D1874" s="636">
        <v>8255</v>
      </c>
      <c r="E1874" s="603"/>
    </row>
    <row r="1875" spans="1:5" x14ac:dyDescent="0.3">
      <c r="A1875" s="635" t="s">
        <v>562</v>
      </c>
      <c r="B1875" s="635">
        <v>16.510000000000002</v>
      </c>
      <c r="C1875" s="636">
        <v>300</v>
      </c>
      <c r="D1875" s="636">
        <v>4953.0000000000009</v>
      </c>
      <c r="E1875" s="603"/>
    </row>
    <row r="1876" spans="1:5" x14ac:dyDescent="0.3">
      <c r="A1876" s="635" t="s">
        <v>2205</v>
      </c>
      <c r="B1876" s="635">
        <v>16.100000000000001</v>
      </c>
      <c r="C1876" s="636">
        <v>2360</v>
      </c>
      <c r="D1876" s="636">
        <v>37996</v>
      </c>
      <c r="E1876" s="603"/>
    </row>
    <row r="1877" spans="1:5" x14ac:dyDescent="0.3">
      <c r="A1877" s="635" t="s">
        <v>2204</v>
      </c>
      <c r="B1877" s="635">
        <v>16.100000000000001</v>
      </c>
      <c r="C1877" s="636">
        <v>40</v>
      </c>
      <c r="D1877" s="636">
        <v>644</v>
      </c>
      <c r="E1877" s="603"/>
    </row>
    <row r="1878" spans="1:5" x14ac:dyDescent="0.3">
      <c r="A1878" s="635" t="s">
        <v>2203</v>
      </c>
      <c r="B1878" s="635">
        <v>15.79</v>
      </c>
      <c r="C1878" s="636">
        <v>1058</v>
      </c>
      <c r="D1878" s="636">
        <v>16705.82</v>
      </c>
      <c r="E1878" s="603"/>
    </row>
    <row r="1879" spans="1:5" x14ac:dyDescent="0.3">
      <c r="A1879" s="635" t="s">
        <v>2202</v>
      </c>
      <c r="B1879" s="635">
        <v>15.6</v>
      </c>
      <c r="C1879" s="636">
        <v>2000</v>
      </c>
      <c r="D1879" s="636">
        <v>31200</v>
      </c>
      <c r="E1879" s="603"/>
    </row>
    <row r="1880" spans="1:5" x14ac:dyDescent="0.3">
      <c r="A1880" s="635" t="s">
        <v>2201</v>
      </c>
      <c r="B1880" s="635">
        <v>15.6</v>
      </c>
      <c r="C1880" s="636">
        <v>500</v>
      </c>
      <c r="D1880" s="636">
        <v>7800</v>
      </c>
      <c r="E1880" s="603"/>
    </row>
    <row r="1881" spans="1:5" x14ac:dyDescent="0.3">
      <c r="A1881" s="635" t="s">
        <v>2200</v>
      </c>
      <c r="B1881" s="635">
        <v>15.21</v>
      </c>
      <c r="C1881" s="636">
        <v>2800</v>
      </c>
      <c r="D1881" s="636">
        <v>42588</v>
      </c>
      <c r="E1881" s="603"/>
    </row>
    <row r="1882" spans="1:5" x14ac:dyDescent="0.3">
      <c r="A1882" s="635" t="s">
        <v>2199</v>
      </c>
      <c r="B1882" s="635">
        <v>15.11</v>
      </c>
      <c r="C1882" s="636">
        <v>3509</v>
      </c>
      <c r="D1882" s="636">
        <v>53020.99</v>
      </c>
      <c r="E1882" s="603"/>
    </row>
    <row r="1883" spans="1:5" x14ac:dyDescent="0.3">
      <c r="A1883" s="635" t="s">
        <v>2198</v>
      </c>
      <c r="B1883" s="635">
        <v>15.11</v>
      </c>
      <c r="C1883" s="636">
        <v>144</v>
      </c>
      <c r="D1883" s="636">
        <v>2175.84</v>
      </c>
      <c r="E1883" s="603"/>
    </row>
    <row r="1884" spans="1:5" x14ac:dyDescent="0.3">
      <c r="A1884" s="635" t="s">
        <v>2197</v>
      </c>
      <c r="B1884" s="635">
        <v>16</v>
      </c>
      <c r="C1884" s="636">
        <v>1497</v>
      </c>
      <c r="D1884" s="636">
        <v>23952</v>
      </c>
      <c r="E1884" s="603"/>
    </row>
    <row r="1885" spans="1:5" x14ac:dyDescent="0.3">
      <c r="A1885" s="635" t="s">
        <v>2196</v>
      </c>
      <c r="B1885" s="635">
        <v>16</v>
      </c>
      <c r="C1885" s="636">
        <v>200</v>
      </c>
      <c r="D1885" s="636">
        <v>3200</v>
      </c>
      <c r="E1885" s="603"/>
    </row>
    <row r="1886" spans="1:5" x14ac:dyDescent="0.3">
      <c r="A1886" s="635" t="s">
        <v>2195</v>
      </c>
      <c r="B1886" s="635">
        <v>16</v>
      </c>
      <c r="C1886" s="636">
        <v>100</v>
      </c>
      <c r="D1886" s="636">
        <v>1600</v>
      </c>
      <c r="E1886" s="603"/>
    </row>
    <row r="1887" spans="1:5" x14ac:dyDescent="0.3">
      <c r="A1887" s="635" t="s">
        <v>2194</v>
      </c>
      <c r="B1887" s="635">
        <v>16</v>
      </c>
      <c r="C1887" s="636">
        <v>100</v>
      </c>
      <c r="D1887" s="636">
        <v>1600</v>
      </c>
      <c r="E1887" s="603"/>
    </row>
    <row r="1888" spans="1:5" x14ac:dyDescent="0.3">
      <c r="A1888" s="635" t="s">
        <v>2193</v>
      </c>
      <c r="B1888" s="635">
        <v>16</v>
      </c>
      <c r="C1888" s="636">
        <v>450</v>
      </c>
      <c r="D1888" s="636">
        <v>7200</v>
      </c>
      <c r="E1888" s="603"/>
    </row>
    <row r="1889" spans="1:5" x14ac:dyDescent="0.3">
      <c r="A1889" s="635" t="s">
        <v>563</v>
      </c>
      <c r="B1889" s="635">
        <v>16</v>
      </c>
      <c r="C1889" s="636">
        <v>500</v>
      </c>
      <c r="D1889" s="636">
        <v>8000</v>
      </c>
      <c r="E1889" s="603"/>
    </row>
    <row r="1890" spans="1:5" x14ac:dyDescent="0.3">
      <c r="A1890" s="635" t="s">
        <v>2192</v>
      </c>
      <c r="B1890" s="635">
        <v>16</v>
      </c>
      <c r="C1890" s="636">
        <v>2325</v>
      </c>
      <c r="D1890" s="636">
        <v>37200</v>
      </c>
      <c r="E1890" s="603"/>
    </row>
    <row r="1891" spans="1:5" x14ac:dyDescent="0.3">
      <c r="A1891" s="635" t="s">
        <v>2191</v>
      </c>
      <c r="B1891" s="635">
        <v>15.92</v>
      </c>
      <c r="C1891" s="636">
        <v>800</v>
      </c>
      <c r="D1891" s="636">
        <v>12736</v>
      </c>
      <c r="E1891" s="603"/>
    </row>
    <row r="1892" spans="1:5" x14ac:dyDescent="0.3">
      <c r="A1892" s="635" t="s">
        <v>2190</v>
      </c>
      <c r="B1892" s="635">
        <v>15.92</v>
      </c>
      <c r="C1892" s="636">
        <v>250</v>
      </c>
      <c r="D1892" s="636">
        <v>3980</v>
      </c>
      <c r="E1892" s="603"/>
    </row>
    <row r="1893" spans="1:5" x14ac:dyDescent="0.3">
      <c r="A1893" s="635" t="s">
        <v>2189</v>
      </c>
      <c r="B1893" s="635">
        <v>15.92</v>
      </c>
      <c r="C1893" s="636">
        <v>365</v>
      </c>
      <c r="D1893" s="636">
        <v>5810.8</v>
      </c>
      <c r="E1893" s="603"/>
    </row>
    <row r="1894" spans="1:5" x14ac:dyDescent="0.3">
      <c r="A1894" s="635" t="s">
        <v>2188</v>
      </c>
      <c r="B1894" s="635">
        <v>17.12</v>
      </c>
      <c r="C1894" s="636">
        <v>4731</v>
      </c>
      <c r="D1894" s="636">
        <v>80994.720000000001</v>
      </c>
      <c r="E1894" s="603"/>
    </row>
    <row r="1895" spans="1:5" x14ac:dyDescent="0.3">
      <c r="A1895" s="635" t="s">
        <v>2187</v>
      </c>
      <c r="B1895" s="635">
        <v>17.420000000000002</v>
      </c>
      <c r="C1895" s="636">
        <v>787</v>
      </c>
      <c r="D1895" s="636">
        <v>13709.54</v>
      </c>
      <c r="E1895" s="603"/>
    </row>
    <row r="1896" spans="1:5" x14ac:dyDescent="0.3">
      <c r="A1896" s="635" t="s">
        <v>2186</v>
      </c>
      <c r="B1896" s="635">
        <v>17.559999999999999</v>
      </c>
      <c r="C1896" s="636">
        <v>593</v>
      </c>
      <c r="D1896" s="636">
        <v>10413.08</v>
      </c>
      <c r="E1896" s="603"/>
    </row>
    <row r="1897" spans="1:5" x14ac:dyDescent="0.3">
      <c r="A1897" s="635" t="s">
        <v>2185</v>
      </c>
      <c r="B1897" s="635">
        <v>17.559999999999999</v>
      </c>
      <c r="C1897" s="636">
        <v>465</v>
      </c>
      <c r="D1897" s="636">
        <v>8165.4</v>
      </c>
      <c r="E1897" s="603"/>
    </row>
    <row r="1898" spans="1:5" x14ac:dyDescent="0.3">
      <c r="A1898" s="635" t="s">
        <v>2184</v>
      </c>
      <c r="B1898" s="635">
        <v>17.32</v>
      </c>
      <c r="C1898" s="636">
        <v>2060</v>
      </c>
      <c r="D1898" s="636">
        <v>35679.199999999997</v>
      </c>
      <c r="E1898" s="603"/>
    </row>
    <row r="1899" spans="1:5" x14ac:dyDescent="0.3">
      <c r="A1899" s="635" t="s">
        <v>2183</v>
      </c>
      <c r="B1899" s="635">
        <v>17.32</v>
      </c>
      <c r="C1899" s="636">
        <v>247</v>
      </c>
      <c r="D1899" s="636">
        <v>4278.04</v>
      </c>
      <c r="E1899" s="603"/>
    </row>
    <row r="1900" spans="1:5" x14ac:dyDescent="0.3">
      <c r="A1900" s="635" t="s">
        <v>2182</v>
      </c>
      <c r="B1900" s="635">
        <v>17.07</v>
      </c>
      <c r="C1900" s="636">
        <v>1280</v>
      </c>
      <c r="D1900" s="636">
        <v>21849.599999999999</v>
      </c>
      <c r="E1900" s="603"/>
    </row>
    <row r="1901" spans="1:5" x14ac:dyDescent="0.3">
      <c r="A1901" s="635" t="s">
        <v>2181</v>
      </c>
      <c r="B1901" s="635">
        <v>17.149999999999999</v>
      </c>
      <c r="C1901" s="636">
        <v>4650</v>
      </c>
      <c r="D1901" s="636">
        <v>79747.5</v>
      </c>
      <c r="E1901" s="603"/>
    </row>
    <row r="1902" spans="1:5" x14ac:dyDescent="0.3">
      <c r="A1902" s="635" t="s">
        <v>564</v>
      </c>
      <c r="B1902" s="635">
        <v>17.149999999999999</v>
      </c>
      <c r="C1902" s="636">
        <v>500</v>
      </c>
      <c r="D1902" s="636">
        <v>8575</v>
      </c>
      <c r="E1902" s="603"/>
    </row>
    <row r="1903" spans="1:5" x14ac:dyDescent="0.3">
      <c r="A1903" s="635" t="s">
        <v>2180</v>
      </c>
      <c r="B1903" s="635">
        <v>17.2</v>
      </c>
      <c r="C1903" s="636">
        <v>2000</v>
      </c>
      <c r="D1903" s="636">
        <v>34400</v>
      </c>
      <c r="E1903" s="603"/>
    </row>
    <row r="1904" spans="1:5" x14ac:dyDescent="0.3">
      <c r="A1904" s="635" t="s">
        <v>2179</v>
      </c>
      <c r="B1904" s="635">
        <v>17.3</v>
      </c>
      <c r="C1904" s="636">
        <v>1000</v>
      </c>
      <c r="D1904" s="636">
        <v>17300</v>
      </c>
      <c r="E1904" s="603"/>
    </row>
    <row r="1905" spans="1:5" x14ac:dyDescent="0.3">
      <c r="A1905" s="635" t="s">
        <v>2178</v>
      </c>
      <c r="B1905" s="635">
        <v>17.04</v>
      </c>
      <c r="C1905" s="636">
        <v>5700</v>
      </c>
      <c r="D1905" s="636">
        <v>97128</v>
      </c>
      <c r="E1905" s="603"/>
    </row>
    <row r="1906" spans="1:5" x14ac:dyDescent="0.3">
      <c r="A1906" s="635" t="s">
        <v>2177</v>
      </c>
      <c r="B1906" s="635">
        <v>17.04</v>
      </c>
      <c r="C1906" s="636">
        <v>300</v>
      </c>
      <c r="D1906" s="636">
        <v>5112</v>
      </c>
      <c r="E1906" s="603"/>
    </row>
    <row r="1907" spans="1:5" x14ac:dyDescent="0.3">
      <c r="A1907" s="635" t="s">
        <v>2176</v>
      </c>
      <c r="B1907" s="635">
        <v>16.670000000000002</v>
      </c>
      <c r="C1907" s="636">
        <v>9012</v>
      </c>
      <c r="D1907" s="636">
        <v>150230.04</v>
      </c>
      <c r="E1907" s="603"/>
    </row>
    <row r="1908" spans="1:5" x14ac:dyDescent="0.3">
      <c r="A1908" s="635" t="s">
        <v>2175</v>
      </c>
      <c r="B1908" s="635">
        <v>17</v>
      </c>
      <c r="C1908" s="636">
        <v>2500</v>
      </c>
      <c r="D1908" s="636">
        <v>42500</v>
      </c>
      <c r="E1908" s="603"/>
    </row>
    <row r="1909" spans="1:5" x14ac:dyDescent="0.3">
      <c r="A1909" s="635" t="s">
        <v>2174</v>
      </c>
      <c r="B1909" s="635">
        <v>17.37</v>
      </c>
      <c r="C1909" s="636">
        <v>4535</v>
      </c>
      <c r="D1909" s="636">
        <v>78772.950000000012</v>
      </c>
      <c r="E1909" s="603"/>
    </row>
    <row r="1910" spans="1:5" x14ac:dyDescent="0.3">
      <c r="A1910" s="635" t="s">
        <v>2173</v>
      </c>
      <c r="B1910" s="635">
        <v>17.78</v>
      </c>
      <c r="C1910" s="636">
        <v>10612</v>
      </c>
      <c r="D1910" s="636">
        <v>188681.36</v>
      </c>
      <c r="E1910" s="603"/>
    </row>
    <row r="1911" spans="1:5" x14ac:dyDescent="0.3">
      <c r="A1911" s="635" t="s">
        <v>2172</v>
      </c>
      <c r="B1911" s="635">
        <v>18.13</v>
      </c>
      <c r="C1911" s="636">
        <v>2640</v>
      </c>
      <c r="D1911" s="636">
        <v>47863.199999999997</v>
      </c>
      <c r="E1911" s="603"/>
    </row>
    <row r="1912" spans="1:5" x14ac:dyDescent="0.3">
      <c r="A1912" s="635" t="s">
        <v>2171</v>
      </c>
      <c r="B1912" s="635">
        <v>18.09</v>
      </c>
      <c r="C1912" s="636">
        <v>4797</v>
      </c>
      <c r="D1912" s="636">
        <v>86777.73</v>
      </c>
      <c r="E1912" s="603"/>
    </row>
    <row r="1913" spans="1:5" x14ac:dyDescent="0.3">
      <c r="A1913" s="635" t="s">
        <v>2170</v>
      </c>
      <c r="B1913" s="635">
        <v>17.91</v>
      </c>
      <c r="C1913" s="636">
        <v>3400</v>
      </c>
      <c r="D1913" s="636">
        <v>60894</v>
      </c>
      <c r="E1913" s="603"/>
    </row>
    <row r="1914" spans="1:5" x14ac:dyDescent="0.3">
      <c r="A1914" s="635" t="s">
        <v>2169</v>
      </c>
      <c r="B1914" s="635">
        <v>17.91</v>
      </c>
      <c r="C1914" s="636">
        <v>480</v>
      </c>
      <c r="D1914" s="636">
        <v>8596.7999999999993</v>
      </c>
      <c r="E1914" s="603"/>
    </row>
    <row r="1915" spans="1:5" x14ac:dyDescent="0.3">
      <c r="A1915" s="635" t="s">
        <v>2168</v>
      </c>
      <c r="B1915" s="635">
        <v>17.47</v>
      </c>
      <c r="C1915" s="636">
        <v>2568</v>
      </c>
      <c r="D1915" s="636">
        <v>44862.96</v>
      </c>
      <c r="E1915" s="603"/>
    </row>
    <row r="1916" spans="1:5" x14ac:dyDescent="0.3">
      <c r="A1916" s="635" t="s">
        <v>2167</v>
      </c>
      <c r="B1916" s="635">
        <v>18.21</v>
      </c>
      <c r="C1916" s="636">
        <v>11345</v>
      </c>
      <c r="D1916" s="636">
        <v>206592.45</v>
      </c>
      <c r="E1916" s="603"/>
    </row>
    <row r="1917" spans="1:5" x14ac:dyDescent="0.3">
      <c r="A1917" s="635" t="s">
        <v>2166</v>
      </c>
      <c r="B1917" s="635">
        <v>18.32</v>
      </c>
      <c r="C1917" s="636">
        <v>4630</v>
      </c>
      <c r="D1917" s="636">
        <v>84821.6</v>
      </c>
      <c r="E1917" s="603"/>
    </row>
    <row r="1918" spans="1:5" x14ac:dyDescent="0.3">
      <c r="A1918" s="635" t="s">
        <v>2165</v>
      </c>
      <c r="B1918" s="635">
        <v>18.489999999999998</v>
      </c>
      <c r="C1918" s="636">
        <v>880</v>
      </c>
      <c r="D1918" s="636">
        <v>16271.2</v>
      </c>
      <c r="E1918" s="603"/>
    </row>
    <row r="1919" spans="1:5" x14ac:dyDescent="0.3">
      <c r="A1919" s="635" t="s">
        <v>2164</v>
      </c>
      <c r="B1919" s="635">
        <v>18.41</v>
      </c>
      <c r="C1919" s="636">
        <v>1545</v>
      </c>
      <c r="D1919" s="636">
        <v>28443.45</v>
      </c>
      <c r="E1919" s="603"/>
    </row>
    <row r="1920" spans="1:5" x14ac:dyDescent="0.3">
      <c r="A1920" s="635" t="s">
        <v>2163</v>
      </c>
      <c r="B1920" s="635">
        <v>19.05</v>
      </c>
      <c r="C1920" s="636">
        <v>30386</v>
      </c>
      <c r="D1920" s="636">
        <v>578853.30000000005</v>
      </c>
      <c r="E1920" s="603"/>
    </row>
    <row r="1921" spans="1:5" x14ac:dyDescent="0.3">
      <c r="A1921" s="635" t="s">
        <v>2162</v>
      </c>
      <c r="B1921" s="635">
        <v>19.05</v>
      </c>
      <c r="C1921" s="636">
        <v>6361</v>
      </c>
      <c r="D1921" s="636">
        <v>121177.05</v>
      </c>
      <c r="E1921" s="603"/>
    </row>
    <row r="1922" spans="1:5" x14ac:dyDescent="0.3">
      <c r="A1922" s="635" t="s">
        <v>565</v>
      </c>
      <c r="B1922" s="635">
        <v>19.09</v>
      </c>
      <c r="C1922" s="636">
        <v>8935</v>
      </c>
      <c r="D1922" s="636">
        <v>170569.15</v>
      </c>
      <c r="E1922" s="603"/>
    </row>
    <row r="1923" spans="1:5" x14ac:dyDescent="0.3">
      <c r="A1923" s="635" t="s">
        <v>2161</v>
      </c>
      <c r="B1923" s="635">
        <v>18.96</v>
      </c>
      <c r="C1923" s="636">
        <v>1223</v>
      </c>
      <c r="D1923" s="636">
        <v>23188.080000000002</v>
      </c>
      <c r="E1923" s="603"/>
    </row>
    <row r="1924" spans="1:5" x14ac:dyDescent="0.3">
      <c r="A1924" s="635" t="s">
        <v>2160</v>
      </c>
      <c r="B1924" s="635">
        <v>19.010000000000002</v>
      </c>
      <c r="C1924" s="636">
        <v>1578</v>
      </c>
      <c r="D1924" s="636">
        <v>29997.78</v>
      </c>
      <c r="E1924" s="603"/>
    </row>
    <row r="1925" spans="1:5" x14ac:dyDescent="0.3">
      <c r="A1925" s="635" t="s">
        <v>2159</v>
      </c>
      <c r="B1925" s="635">
        <v>18.96</v>
      </c>
      <c r="C1925" s="636">
        <v>6892</v>
      </c>
      <c r="D1925" s="636">
        <v>130672.32000000001</v>
      </c>
      <c r="E1925" s="603"/>
    </row>
    <row r="1926" spans="1:5" x14ac:dyDescent="0.3">
      <c r="A1926" s="635" t="s">
        <v>2158</v>
      </c>
      <c r="B1926" s="635">
        <v>19.190000000000001</v>
      </c>
      <c r="C1926" s="636">
        <v>4204</v>
      </c>
      <c r="D1926" s="636">
        <v>80674.760000000009</v>
      </c>
      <c r="E1926" s="603"/>
    </row>
    <row r="1927" spans="1:5" x14ac:dyDescent="0.3">
      <c r="A1927" s="635" t="s">
        <v>2157</v>
      </c>
      <c r="B1927" s="635">
        <v>19.809999999999999</v>
      </c>
      <c r="C1927" s="636">
        <v>2500</v>
      </c>
      <c r="D1927" s="636">
        <v>49525</v>
      </c>
      <c r="E1927" s="603"/>
    </row>
    <row r="1928" spans="1:5" x14ac:dyDescent="0.3">
      <c r="A1928" s="635" t="s">
        <v>2156</v>
      </c>
      <c r="B1928" s="635">
        <v>20</v>
      </c>
      <c r="C1928" s="636">
        <v>17217</v>
      </c>
      <c r="D1928" s="636">
        <v>344340</v>
      </c>
      <c r="E1928" s="603"/>
    </row>
    <row r="1929" spans="1:5" x14ac:dyDescent="0.3">
      <c r="A1929" s="635" t="s">
        <v>2155</v>
      </c>
      <c r="B1929" s="635">
        <v>19.66</v>
      </c>
      <c r="C1929" s="636">
        <v>5733</v>
      </c>
      <c r="D1929" s="636">
        <v>112710.78</v>
      </c>
      <c r="E1929" s="603"/>
    </row>
    <row r="1930" spans="1:5" x14ac:dyDescent="0.3">
      <c r="A1930" s="635" t="s">
        <v>2154</v>
      </c>
      <c r="B1930" s="635">
        <v>19.54</v>
      </c>
      <c r="C1930" s="636">
        <v>3200</v>
      </c>
      <c r="D1930" s="636">
        <v>62528</v>
      </c>
      <c r="E1930" s="603"/>
    </row>
    <row r="1931" spans="1:5" x14ac:dyDescent="0.3">
      <c r="A1931" s="635" t="s">
        <v>2153</v>
      </c>
      <c r="B1931" s="635">
        <v>19.649999999999999</v>
      </c>
      <c r="C1931" s="636">
        <v>5381</v>
      </c>
      <c r="D1931" s="636">
        <v>105736.65</v>
      </c>
      <c r="E1931" s="603"/>
    </row>
    <row r="1932" spans="1:5" x14ac:dyDescent="0.3">
      <c r="A1932" s="635" t="s">
        <v>2152</v>
      </c>
      <c r="B1932" s="635">
        <v>19.79</v>
      </c>
      <c r="C1932" s="636">
        <v>5339</v>
      </c>
      <c r="D1932" s="636">
        <v>105658.81</v>
      </c>
      <c r="E1932" s="603"/>
    </row>
    <row r="1933" spans="1:5" x14ac:dyDescent="0.3">
      <c r="A1933" s="635" t="s">
        <v>2151</v>
      </c>
      <c r="B1933" s="635">
        <v>19.88</v>
      </c>
      <c r="C1933" s="636">
        <v>19237</v>
      </c>
      <c r="D1933" s="636">
        <v>382431.56</v>
      </c>
      <c r="E1933" s="603"/>
    </row>
    <row r="1934" spans="1:5" x14ac:dyDescent="0.3">
      <c r="A1934" s="635" t="s">
        <v>2150</v>
      </c>
      <c r="B1934" s="635">
        <v>19.989999999999998</v>
      </c>
      <c r="C1934" s="636">
        <v>9070</v>
      </c>
      <c r="D1934" s="636">
        <v>181309.3</v>
      </c>
      <c r="E1934" s="603"/>
    </row>
    <row r="1935" spans="1:5" x14ac:dyDescent="0.3">
      <c r="A1935" s="635" t="s">
        <v>2149</v>
      </c>
      <c r="B1935" s="635">
        <v>19.850000000000001</v>
      </c>
      <c r="C1935" s="636">
        <v>4521</v>
      </c>
      <c r="D1935" s="636">
        <v>89741.85</v>
      </c>
      <c r="E1935" s="603"/>
    </row>
    <row r="1936" spans="1:5" x14ac:dyDescent="0.3">
      <c r="A1936" s="635" t="s">
        <v>2148</v>
      </c>
      <c r="B1936" s="635">
        <v>19.78</v>
      </c>
      <c r="C1936" s="636">
        <v>6459</v>
      </c>
      <c r="D1936" s="636">
        <v>127759.02</v>
      </c>
      <c r="E1936" s="603"/>
    </row>
    <row r="1937" spans="1:5" x14ac:dyDescent="0.3">
      <c r="A1937" s="635" t="s">
        <v>2147</v>
      </c>
      <c r="B1937" s="635">
        <v>20.28</v>
      </c>
      <c r="C1937" s="636">
        <v>13199</v>
      </c>
      <c r="D1937" s="636">
        <v>267675.71999999997</v>
      </c>
      <c r="E1937" s="603"/>
    </row>
    <row r="1938" spans="1:5" x14ac:dyDescent="0.3">
      <c r="A1938" s="635" t="s">
        <v>2146</v>
      </c>
      <c r="B1938" s="635">
        <v>18.05</v>
      </c>
      <c r="C1938" s="636">
        <v>18110</v>
      </c>
      <c r="D1938" s="636">
        <v>326885.5</v>
      </c>
      <c r="E1938" s="603"/>
    </row>
    <row r="1939" spans="1:5" x14ac:dyDescent="0.3">
      <c r="A1939" s="635" t="s">
        <v>2145</v>
      </c>
      <c r="B1939" s="635">
        <v>18</v>
      </c>
      <c r="C1939" s="636">
        <v>5994</v>
      </c>
      <c r="D1939" s="636">
        <v>107892</v>
      </c>
      <c r="E1939" s="603"/>
    </row>
    <row r="1940" spans="1:5" x14ac:dyDescent="0.3">
      <c r="A1940" s="635" t="s">
        <v>2144</v>
      </c>
      <c r="B1940" s="635">
        <v>17.989999999999998</v>
      </c>
      <c r="C1940" s="636">
        <v>2020</v>
      </c>
      <c r="D1940" s="636">
        <v>36339.800000000003</v>
      </c>
      <c r="E1940" s="603"/>
    </row>
    <row r="1941" spans="1:5" x14ac:dyDescent="0.3">
      <c r="A1941" s="635" t="s">
        <v>566</v>
      </c>
      <c r="B1941" s="635">
        <v>17.47</v>
      </c>
      <c r="C1941" s="636">
        <v>6000</v>
      </c>
      <c r="D1941" s="636">
        <v>104820</v>
      </c>
      <c r="E1941" s="603"/>
    </row>
    <row r="1942" spans="1:5" x14ac:dyDescent="0.3">
      <c r="A1942" s="635" t="s">
        <v>2143</v>
      </c>
      <c r="B1942" s="635">
        <v>17.82</v>
      </c>
      <c r="C1942" s="636">
        <v>1750</v>
      </c>
      <c r="D1942" s="636">
        <v>31185</v>
      </c>
      <c r="E1942" s="603"/>
    </row>
    <row r="1943" spans="1:5" x14ac:dyDescent="0.3">
      <c r="A1943" s="635" t="s">
        <v>2142</v>
      </c>
      <c r="B1943" s="635">
        <v>17.53</v>
      </c>
      <c r="C1943" s="636">
        <v>793</v>
      </c>
      <c r="D1943" s="636">
        <v>13901.29</v>
      </c>
      <c r="E1943" s="603"/>
    </row>
    <row r="1944" spans="1:5" x14ac:dyDescent="0.3">
      <c r="A1944" s="635" t="s">
        <v>2141</v>
      </c>
      <c r="B1944" s="635">
        <v>17.52</v>
      </c>
      <c r="C1944" s="636">
        <v>2293</v>
      </c>
      <c r="D1944" s="636">
        <v>40173.360000000001</v>
      </c>
      <c r="E1944" s="603"/>
    </row>
    <row r="1945" spans="1:5" x14ac:dyDescent="0.3">
      <c r="A1945" s="635" t="s">
        <v>2140</v>
      </c>
      <c r="B1945" s="635">
        <v>17.489999999999998</v>
      </c>
      <c r="C1945" s="636">
        <v>2990</v>
      </c>
      <c r="D1945" s="636">
        <v>52295.1</v>
      </c>
      <c r="E1945" s="603"/>
    </row>
    <row r="1946" spans="1:5" x14ac:dyDescent="0.3">
      <c r="A1946" s="635" t="s">
        <v>2139</v>
      </c>
      <c r="B1946" s="635">
        <v>17.48</v>
      </c>
      <c r="C1946" s="636">
        <v>2151</v>
      </c>
      <c r="D1946" s="636">
        <v>37599.480000000003</v>
      </c>
      <c r="E1946" s="603"/>
    </row>
    <row r="1947" spans="1:5" x14ac:dyDescent="0.3">
      <c r="A1947" s="635" t="s">
        <v>2138</v>
      </c>
      <c r="B1947" s="635">
        <v>17.420000000000002</v>
      </c>
      <c r="C1947" s="636">
        <v>1063</v>
      </c>
      <c r="D1947" s="636">
        <v>18517.46</v>
      </c>
      <c r="E1947" s="603"/>
    </row>
    <row r="1948" spans="1:5" x14ac:dyDescent="0.3">
      <c r="A1948" s="635" t="s">
        <v>2137</v>
      </c>
      <c r="B1948" s="635">
        <v>17.510000000000002</v>
      </c>
      <c r="C1948" s="636">
        <v>2692</v>
      </c>
      <c r="D1948" s="636">
        <v>47136.920000000013</v>
      </c>
      <c r="E1948" s="603"/>
    </row>
    <row r="1949" spans="1:5" x14ac:dyDescent="0.3">
      <c r="A1949" s="635" t="s">
        <v>2136</v>
      </c>
      <c r="B1949" s="635">
        <v>17.399999999999999</v>
      </c>
      <c r="C1949" s="636">
        <v>2500</v>
      </c>
      <c r="D1949" s="636">
        <v>43500</v>
      </c>
      <c r="E1949" s="603"/>
    </row>
    <row r="1950" spans="1:5" x14ac:dyDescent="0.3">
      <c r="A1950" s="635" t="s">
        <v>2135</v>
      </c>
      <c r="B1950" s="635">
        <v>17.149999999999999</v>
      </c>
      <c r="C1950" s="636">
        <v>829</v>
      </c>
      <c r="D1950" s="636">
        <v>14217.35</v>
      </c>
      <c r="E1950" s="603"/>
    </row>
    <row r="1951" spans="1:5" x14ac:dyDescent="0.3">
      <c r="A1951" s="635" t="s">
        <v>2134</v>
      </c>
      <c r="B1951" s="635">
        <v>17.149999999999999</v>
      </c>
      <c r="C1951" s="636">
        <v>330</v>
      </c>
      <c r="D1951" s="636">
        <v>5659.4999999999991</v>
      </c>
      <c r="E1951" s="603"/>
    </row>
    <row r="1952" spans="1:5" x14ac:dyDescent="0.3">
      <c r="A1952" s="635" t="s">
        <v>2133</v>
      </c>
      <c r="B1952" s="635">
        <v>16.75</v>
      </c>
      <c r="C1952" s="636">
        <v>1075</v>
      </c>
      <c r="D1952" s="636">
        <v>18006.25</v>
      </c>
      <c r="E1952" s="603"/>
    </row>
    <row r="1953" spans="1:5" x14ac:dyDescent="0.3">
      <c r="A1953" s="635" t="s">
        <v>2132</v>
      </c>
      <c r="B1953" s="635">
        <v>16.5</v>
      </c>
      <c r="C1953" s="636">
        <v>917</v>
      </c>
      <c r="D1953" s="636">
        <v>15130.5</v>
      </c>
      <c r="E1953" s="603"/>
    </row>
    <row r="1954" spans="1:5" x14ac:dyDescent="0.3">
      <c r="A1954" s="635" t="s">
        <v>2131</v>
      </c>
      <c r="B1954" s="635">
        <v>18.05</v>
      </c>
      <c r="C1954" s="636">
        <v>15559</v>
      </c>
      <c r="D1954" s="636">
        <v>280839.95</v>
      </c>
      <c r="E1954" s="603"/>
    </row>
    <row r="1955" spans="1:5" x14ac:dyDescent="0.3">
      <c r="A1955" s="635" t="s">
        <v>2130</v>
      </c>
      <c r="B1955" s="635">
        <v>16.989999999999998</v>
      </c>
      <c r="C1955" s="636">
        <v>6314</v>
      </c>
      <c r="D1955" s="636">
        <v>107274.86</v>
      </c>
      <c r="E1955" s="603"/>
    </row>
    <row r="1956" spans="1:5" x14ac:dyDescent="0.3">
      <c r="A1956" s="635" t="s">
        <v>2129</v>
      </c>
      <c r="B1956" s="635">
        <v>17.059999999999999</v>
      </c>
      <c r="C1956" s="636">
        <v>2380</v>
      </c>
      <c r="D1956" s="636">
        <v>40602.800000000003</v>
      </c>
      <c r="E1956" s="603"/>
    </row>
    <row r="1957" spans="1:5" x14ac:dyDescent="0.3">
      <c r="A1957" s="635" t="s">
        <v>2128</v>
      </c>
      <c r="B1957" s="635">
        <v>18.12</v>
      </c>
      <c r="C1957" s="636">
        <v>1571</v>
      </c>
      <c r="D1957" s="636">
        <v>28466.52</v>
      </c>
      <c r="E1957" s="603"/>
    </row>
    <row r="1958" spans="1:5" x14ac:dyDescent="0.3">
      <c r="A1958" s="635" t="s">
        <v>2127</v>
      </c>
      <c r="B1958" s="635">
        <v>18</v>
      </c>
      <c r="C1958" s="636">
        <v>1967</v>
      </c>
      <c r="D1958" s="636">
        <v>35406</v>
      </c>
      <c r="E1958" s="603"/>
    </row>
    <row r="1959" spans="1:5" x14ac:dyDescent="0.3">
      <c r="A1959" s="635" t="s">
        <v>2126</v>
      </c>
      <c r="B1959" s="635">
        <v>18</v>
      </c>
      <c r="C1959" s="636">
        <v>200</v>
      </c>
      <c r="D1959" s="636">
        <v>3600</v>
      </c>
      <c r="E1959" s="603"/>
    </row>
    <row r="1960" spans="1:5" x14ac:dyDescent="0.3">
      <c r="A1960" s="635" t="s">
        <v>2125</v>
      </c>
      <c r="B1960" s="635">
        <v>18</v>
      </c>
      <c r="C1960" s="636">
        <v>500</v>
      </c>
      <c r="D1960" s="636">
        <v>9000</v>
      </c>
      <c r="E1960" s="603"/>
    </row>
    <row r="1961" spans="1:5" x14ac:dyDescent="0.3">
      <c r="A1961" s="635" t="s">
        <v>567</v>
      </c>
      <c r="B1961" s="635">
        <v>18.21</v>
      </c>
      <c r="C1961" s="636">
        <v>4140</v>
      </c>
      <c r="D1961" s="636">
        <v>75389.400000000009</v>
      </c>
      <c r="E1961" s="603"/>
    </row>
    <row r="1962" spans="1:5" x14ac:dyDescent="0.3">
      <c r="A1962" s="635" t="s">
        <v>2124</v>
      </c>
      <c r="B1962" s="635">
        <v>18.5</v>
      </c>
      <c r="C1962" s="636">
        <v>4305</v>
      </c>
      <c r="D1962" s="636">
        <v>79642.5</v>
      </c>
      <c r="E1962" s="603"/>
    </row>
    <row r="1963" spans="1:5" x14ac:dyDescent="0.3">
      <c r="A1963" s="635" t="s">
        <v>2123</v>
      </c>
      <c r="B1963" s="635">
        <v>18.04</v>
      </c>
      <c r="C1963" s="636">
        <v>1780</v>
      </c>
      <c r="D1963" s="636">
        <v>32111.200000000001</v>
      </c>
      <c r="E1963" s="603"/>
    </row>
    <row r="1964" spans="1:5" x14ac:dyDescent="0.3">
      <c r="A1964" s="635" t="s">
        <v>2122</v>
      </c>
      <c r="B1964" s="635">
        <v>18.04</v>
      </c>
      <c r="C1964" s="636">
        <v>500</v>
      </c>
      <c r="D1964" s="636">
        <v>9020</v>
      </c>
      <c r="E1964" s="603"/>
    </row>
    <row r="1965" spans="1:5" x14ac:dyDescent="0.3">
      <c r="A1965" s="635" t="s">
        <v>2121</v>
      </c>
      <c r="B1965" s="635">
        <v>18.04</v>
      </c>
      <c r="C1965" s="636">
        <v>82</v>
      </c>
      <c r="D1965" s="636">
        <v>1479.28</v>
      </c>
      <c r="E1965" s="603"/>
    </row>
    <row r="1966" spans="1:5" x14ac:dyDescent="0.3">
      <c r="A1966" s="635" t="s">
        <v>2120</v>
      </c>
      <c r="B1966" s="635">
        <v>18.04</v>
      </c>
      <c r="C1966" s="636">
        <v>9</v>
      </c>
      <c r="D1966" s="636">
        <v>162.36000000000001</v>
      </c>
      <c r="E1966" s="603"/>
    </row>
    <row r="1967" spans="1:5" x14ac:dyDescent="0.3">
      <c r="A1967" s="635" t="s">
        <v>2119</v>
      </c>
      <c r="B1967" s="635">
        <v>18.399999999999999</v>
      </c>
      <c r="C1967" s="636">
        <v>4480</v>
      </c>
      <c r="D1967" s="636">
        <v>82432</v>
      </c>
      <c r="E1967" s="603"/>
    </row>
    <row r="1968" spans="1:5" x14ac:dyDescent="0.3">
      <c r="A1968" s="635" t="s">
        <v>2118</v>
      </c>
      <c r="B1968" s="635">
        <v>19.420000000000002</v>
      </c>
      <c r="C1968" s="636">
        <v>6250</v>
      </c>
      <c r="D1968" s="636">
        <v>121375</v>
      </c>
      <c r="E1968" s="603"/>
    </row>
    <row r="1969" spans="1:5" x14ac:dyDescent="0.3">
      <c r="A1969" s="635" t="s">
        <v>2117</v>
      </c>
      <c r="B1969" s="635">
        <v>19.100000000000001</v>
      </c>
      <c r="C1969" s="636">
        <v>1670</v>
      </c>
      <c r="D1969" s="636">
        <v>31897</v>
      </c>
      <c r="E1969" s="603"/>
    </row>
    <row r="1970" spans="1:5" x14ac:dyDescent="0.3">
      <c r="A1970" s="635" t="s">
        <v>2116</v>
      </c>
      <c r="B1970" s="635">
        <v>18.7</v>
      </c>
      <c r="C1970" s="636">
        <v>1138</v>
      </c>
      <c r="D1970" s="636">
        <v>21280.6</v>
      </c>
      <c r="E1970" s="603"/>
    </row>
    <row r="1971" spans="1:5" x14ac:dyDescent="0.3">
      <c r="A1971" s="635" t="s">
        <v>2115</v>
      </c>
      <c r="B1971" s="635">
        <v>18.7</v>
      </c>
      <c r="C1971" s="636">
        <v>100</v>
      </c>
      <c r="D1971" s="636">
        <v>1870</v>
      </c>
      <c r="E1971" s="603"/>
    </row>
    <row r="1972" spans="1:5" x14ac:dyDescent="0.3">
      <c r="A1972" s="635" t="s">
        <v>2114</v>
      </c>
      <c r="B1972" s="635">
        <v>18.97</v>
      </c>
      <c r="C1972" s="636">
        <v>850</v>
      </c>
      <c r="D1972" s="636">
        <v>16124.5</v>
      </c>
      <c r="E1972" s="603"/>
    </row>
    <row r="1973" spans="1:5" x14ac:dyDescent="0.3">
      <c r="A1973" s="635" t="s">
        <v>2113</v>
      </c>
      <c r="B1973" s="635">
        <v>18.97</v>
      </c>
      <c r="C1973" s="636">
        <v>132</v>
      </c>
      <c r="D1973" s="636">
        <v>2504.04</v>
      </c>
      <c r="E1973" s="603"/>
    </row>
    <row r="1974" spans="1:5" x14ac:dyDescent="0.3">
      <c r="A1974" s="635" t="s">
        <v>2112</v>
      </c>
      <c r="B1974" s="635">
        <v>18.97</v>
      </c>
      <c r="C1974" s="636">
        <v>260</v>
      </c>
      <c r="D1974" s="636">
        <v>4932.2</v>
      </c>
      <c r="E1974" s="603"/>
    </row>
    <row r="1975" spans="1:5" x14ac:dyDescent="0.3">
      <c r="A1975" s="635" t="s">
        <v>2111</v>
      </c>
      <c r="B1975" s="635">
        <v>18.510000000000002</v>
      </c>
      <c r="C1975" s="636">
        <v>1550</v>
      </c>
      <c r="D1975" s="636">
        <v>28690.5</v>
      </c>
      <c r="E1975" s="603"/>
    </row>
    <row r="1976" spans="1:5" x14ac:dyDescent="0.3">
      <c r="A1976" s="635" t="s">
        <v>2110</v>
      </c>
      <c r="B1976" s="635">
        <v>18.68</v>
      </c>
      <c r="C1976" s="636">
        <v>1966</v>
      </c>
      <c r="D1976" s="636">
        <v>36724.879999999997</v>
      </c>
      <c r="E1976" s="603"/>
    </row>
    <row r="1977" spans="1:5" x14ac:dyDescent="0.3">
      <c r="A1977" s="635" t="s">
        <v>2109</v>
      </c>
      <c r="B1977" s="635">
        <v>18.010000000000002</v>
      </c>
      <c r="C1977" s="636">
        <v>1700</v>
      </c>
      <c r="D1977" s="636">
        <v>30617</v>
      </c>
      <c r="E1977" s="603"/>
    </row>
    <row r="1978" spans="1:5" x14ac:dyDescent="0.3">
      <c r="A1978" s="635" t="s">
        <v>2108</v>
      </c>
      <c r="B1978" s="635">
        <v>18.010000000000002</v>
      </c>
      <c r="C1978" s="636">
        <v>308</v>
      </c>
      <c r="D1978" s="636">
        <v>5547.0800000000008</v>
      </c>
      <c r="E1978" s="603"/>
    </row>
    <row r="1979" spans="1:5" x14ac:dyDescent="0.3">
      <c r="A1979" s="635" t="s">
        <v>2107</v>
      </c>
      <c r="B1979" s="635">
        <v>18.010000000000002</v>
      </c>
      <c r="C1979" s="636">
        <v>400</v>
      </c>
      <c r="D1979" s="636">
        <v>7204.0000000000009</v>
      </c>
      <c r="E1979" s="603"/>
    </row>
    <row r="1980" spans="1:5" x14ac:dyDescent="0.3">
      <c r="A1980" s="635" t="s">
        <v>568</v>
      </c>
      <c r="B1980" s="635">
        <v>18.010000000000002</v>
      </c>
      <c r="C1980" s="636">
        <v>100</v>
      </c>
      <c r="D1980" s="636">
        <v>1801</v>
      </c>
      <c r="E1980" s="603"/>
    </row>
    <row r="1981" spans="1:5" x14ac:dyDescent="0.3">
      <c r="A1981" s="635" t="s">
        <v>2106</v>
      </c>
      <c r="B1981" s="635">
        <v>18.010000000000002</v>
      </c>
      <c r="C1981" s="636">
        <v>417</v>
      </c>
      <c r="D1981" s="636">
        <v>7510.170000000001</v>
      </c>
      <c r="E1981" s="603"/>
    </row>
    <row r="1982" spans="1:5" x14ac:dyDescent="0.3">
      <c r="A1982" s="635" t="s">
        <v>2105</v>
      </c>
      <c r="B1982" s="635">
        <v>18.98</v>
      </c>
      <c r="C1982" s="636">
        <v>2388</v>
      </c>
      <c r="D1982" s="636">
        <v>45324.24</v>
      </c>
      <c r="E1982" s="603"/>
    </row>
    <row r="1983" spans="1:5" x14ac:dyDescent="0.3">
      <c r="A1983" s="635" t="s">
        <v>2104</v>
      </c>
      <c r="B1983" s="635">
        <v>19.149999999999999</v>
      </c>
      <c r="C1983" s="636">
        <v>1567</v>
      </c>
      <c r="D1983" s="636">
        <v>30008.05</v>
      </c>
      <c r="E1983" s="603"/>
    </row>
    <row r="1984" spans="1:5" x14ac:dyDescent="0.3">
      <c r="A1984" s="635" t="s">
        <v>2103</v>
      </c>
      <c r="B1984" s="635">
        <v>19.149999999999999</v>
      </c>
      <c r="C1984" s="636">
        <v>20</v>
      </c>
      <c r="D1984" s="636">
        <v>383</v>
      </c>
      <c r="E1984" s="603"/>
    </row>
    <row r="1985" spans="1:5" x14ac:dyDescent="0.3">
      <c r="A1985" s="635" t="s">
        <v>2102</v>
      </c>
      <c r="B1985" s="635">
        <v>19.149999999999999</v>
      </c>
      <c r="C1985" s="636">
        <v>100</v>
      </c>
      <c r="D1985" s="636">
        <v>1915</v>
      </c>
      <c r="E1985" s="603"/>
    </row>
    <row r="1986" spans="1:5" x14ac:dyDescent="0.3">
      <c r="A1986" s="635" t="s">
        <v>2101</v>
      </c>
      <c r="B1986" s="635">
        <v>18.66</v>
      </c>
      <c r="C1986" s="636">
        <v>893</v>
      </c>
      <c r="D1986" s="636">
        <v>16663.38</v>
      </c>
      <c r="E1986" s="603"/>
    </row>
    <row r="1987" spans="1:5" x14ac:dyDescent="0.3">
      <c r="A1987" s="635" t="s">
        <v>2100</v>
      </c>
      <c r="B1987" s="635">
        <v>18.59</v>
      </c>
      <c r="C1987" s="636">
        <v>1935</v>
      </c>
      <c r="D1987" s="636">
        <v>35971.65</v>
      </c>
      <c r="E1987" s="603"/>
    </row>
    <row r="1988" spans="1:5" x14ac:dyDescent="0.3">
      <c r="A1988" s="635" t="s">
        <v>2099</v>
      </c>
      <c r="B1988" s="635">
        <v>18.59</v>
      </c>
      <c r="C1988" s="636">
        <v>202</v>
      </c>
      <c r="D1988" s="636">
        <v>3755.18</v>
      </c>
      <c r="E1988" s="603"/>
    </row>
    <row r="1989" spans="1:5" x14ac:dyDescent="0.3">
      <c r="A1989" s="635" t="s">
        <v>2098</v>
      </c>
      <c r="B1989" s="635">
        <v>19.04</v>
      </c>
      <c r="C1989" s="636">
        <v>1100</v>
      </c>
      <c r="D1989" s="636">
        <v>20944</v>
      </c>
      <c r="E1989" s="603"/>
    </row>
    <row r="1990" spans="1:5" x14ac:dyDescent="0.3">
      <c r="A1990" s="635" t="s">
        <v>2097</v>
      </c>
      <c r="B1990" s="635">
        <v>19.04</v>
      </c>
      <c r="C1990" s="636">
        <v>500</v>
      </c>
      <c r="D1990" s="636">
        <v>9520</v>
      </c>
      <c r="E1990" s="603"/>
    </row>
    <row r="1991" spans="1:5" x14ac:dyDescent="0.3">
      <c r="A1991" s="635" t="s">
        <v>2096</v>
      </c>
      <c r="B1991" s="635">
        <v>19.03</v>
      </c>
      <c r="C1991" s="636">
        <v>2672</v>
      </c>
      <c r="D1991" s="636">
        <v>50848.160000000003</v>
      </c>
      <c r="E1991" s="603"/>
    </row>
    <row r="1992" spans="1:5" x14ac:dyDescent="0.3">
      <c r="A1992" s="635" t="s">
        <v>2095</v>
      </c>
      <c r="B1992" s="635">
        <v>19.03</v>
      </c>
      <c r="C1992" s="636">
        <v>350</v>
      </c>
      <c r="D1992" s="636">
        <v>6660.5</v>
      </c>
      <c r="E1992" s="603"/>
    </row>
    <row r="1993" spans="1:5" x14ac:dyDescent="0.3">
      <c r="A1993" s="635" t="s">
        <v>569</v>
      </c>
      <c r="B1993" s="635">
        <v>19.03</v>
      </c>
      <c r="C1993" s="636">
        <v>488</v>
      </c>
      <c r="D1993" s="636">
        <v>9286.6400000000012</v>
      </c>
      <c r="E1993" s="603"/>
    </row>
    <row r="1994" spans="1:5" x14ac:dyDescent="0.3">
      <c r="A1994" s="635" t="s">
        <v>2094</v>
      </c>
      <c r="B1994" s="635">
        <v>19.03</v>
      </c>
      <c r="C1994" s="636">
        <v>131</v>
      </c>
      <c r="D1994" s="636">
        <v>2492.9299999999998</v>
      </c>
      <c r="E1994" s="603"/>
    </row>
    <row r="1995" spans="1:5" x14ac:dyDescent="0.3">
      <c r="A1995" s="635" t="s">
        <v>2093</v>
      </c>
      <c r="B1995" s="635">
        <v>18.23</v>
      </c>
      <c r="C1995" s="636">
        <v>3030</v>
      </c>
      <c r="D1995" s="636">
        <v>55236.9</v>
      </c>
      <c r="E1995" s="603"/>
    </row>
    <row r="1996" spans="1:5" x14ac:dyDescent="0.3">
      <c r="A1996" s="635" t="s">
        <v>2092</v>
      </c>
      <c r="B1996" s="635">
        <v>18.010000000000002</v>
      </c>
      <c r="C1996" s="636">
        <v>3700</v>
      </c>
      <c r="D1996" s="636">
        <v>66637</v>
      </c>
      <c r="E1996" s="603"/>
    </row>
    <row r="1997" spans="1:5" x14ac:dyDescent="0.3">
      <c r="A1997" s="635" t="s">
        <v>2091</v>
      </c>
      <c r="B1997" s="635">
        <v>18.52</v>
      </c>
      <c r="C1997" s="636">
        <v>1480</v>
      </c>
      <c r="D1997" s="636">
        <v>27409.599999999999</v>
      </c>
      <c r="E1997" s="603"/>
    </row>
    <row r="1998" spans="1:5" x14ac:dyDescent="0.3">
      <c r="A1998" s="635" t="s">
        <v>2090</v>
      </c>
      <c r="B1998" s="635">
        <v>18.79</v>
      </c>
      <c r="C1998" s="636">
        <v>1080</v>
      </c>
      <c r="D1998" s="636">
        <v>20293.2</v>
      </c>
      <c r="E1998" s="603"/>
    </row>
    <row r="1999" spans="1:5" x14ac:dyDescent="0.3">
      <c r="A1999" s="635" t="s">
        <v>2089</v>
      </c>
      <c r="B1999" s="635">
        <v>18.75</v>
      </c>
      <c r="C1999" s="636">
        <v>560</v>
      </c>
      <c r="D1999" s="636">
        <v>10500</v>
      </c>
      <c r="E1999" s="603"/>
    </row>
    <row r="2000" spans="1:5" x14ac:dyDescent="0.3">
      <c r="A2000" s="635" t="s">
        <v>2088</v>
      </c>
      <c r="B2000" s="635">
        <v>18.75</v>
      </c>
      <c r="C2000" s="636">
        <v>102</v>
      </c>
      <c r="D2000" s="636">
        <v>1912.5</v>
      </c>
      <c r="E2000" s="603"/>
    </row>
    <row r="2001" spans="1:5" x14ac:dyDescent="0.3">
      <c r="A2001" s="635" t="s">
        <v>2087</v>
      </c>
      <c r="B2001" s="635">
        <v>18.98</v>
      </c>
      <c r="C2001" s="636">
        <v>1920</v>
      </c>
      <c r="D2001" s="636">
        <v>36441.599999999999</v>
      </c>
      <c r="E2001" s="603"/>
    </row>
    <row r="2002" spans="1:5" x14ac:dyDescent="0.3">
      <c r="A2002" s="635" t="s">
        <v>2086</v>
      </c>
      <c r="B2002" s="635">
        <v>19</v>
      </c>
      <c r="C2002" s="636">
        <v>790</v>
      </c>
      <c r="D2002" s="636">
        <v>15010</v>
      </c>
      <c r="E2002" s="603"/>
    </row>
    <row r="2003" spans="1:5" x14ac:dyDescent="0.3">
      <c r="A2003" s="635" t="s">
        <v>2085</v>
      </c>
      <c r="B2003" s="635">
        <v>19</v>
      </c>
      <c r="C2003" s="636">
        <v>503</v>
      </c>
      <c r="D2003" s="636">
        <v>9557</v>
      </c>
      <c r="E2003" s="603"/>
    </row>
    <row r="2004" spans="1:5" x14ac:dyDescent="0.3">
      <c r="A2004" s="635" t="s">
        <v>2084</v>
      </c>
      <c r="B2004" s="635">
        <v>19</v>
      </c>
      <c r="C2004" s="636">
        <v>270</v>
      </c>
      <c r="D2004" s="636">
        <v>5130</v>
      </c>
      <c r="E2004" s="603"/>
    </row>
    <row r="2005" spans="1:5" x14ac:dyDescent="0.3">
      <c r="A2005" s="635" t="s">
        <v>2083</v>
      </c>
      <c r="B2005" s="635">
        <v>19</v>
      </c>
      <c r="C2005" s="636">
        <v>159</v>
      </c>
      <c r="D2005" s="636">
        <v>3021</v>
      </c>
      <c r="E2005" s="603"/>
    </row>
    <row r="2006" spans="1:5" x14ac:dyDescent="0.3">
      <c r="A2006" s="635" t="s">
        <v>570</v>
      </c>
      <c r="B2006" s="635">
        <v>19</v>
      </c>
      <c r="C2006" s="636">
        <v>500</v>
      </c>
      <c r="D2006" s="636">
        <v>9500</v>
      </c>
      <c r="E2006" s="603"/>
    </row>
    <row r="2007" spans="1:5" x14ac:dyDescent="0.3">
      <c r="A2007" s="635" t="s">
        <v>2082</v>
      </c>
      <c r="B2007" s="635">
        <v>19</v>
      </c>
      <c r="C2007" s="636">
        <v>370</v>
      </c>
      <c r="D2007" s="636">
        <v>7030</v>
      </c>
      <c r="E2007" s="603"/>
    </row>
    <row r="2008" spans="1:5" x14ac:dyDescent="0.3">
      <c r="A2008" s="635" t="s">
        <v>2081</v>
      </c>
      <c r="B2008" s="635">
        <v>18.78</v>
      </c>
      <c r="C2008" s="636">
        <v>2095</v>
      </c>
      <c r="D2008" s="636">
        <v>39344.100000000013</v>
      </c>
      <c r="E2008" s="603"/>
    </row>
    <row r="2009" spans="1:5" x14ac:dyDescent="0.3">
      <c r="A2009" s="635" t="s">
        <v>2080</v>
      </c>
      <c r="B2009" s="635">
        <v>17.75</v>
      </c>
      <c r="C2009" s="636">
        <v>1600</v>
      </c>
      <c r="D2009" s="636">
        <v>28400</v>
      </c>
      <c r="E2009" s="603"/>
    </row>
    <row r="2010" spans="1:5" x14ac:dyDescent="0.3">
      <c r="A2010" s="635" t="s">
        <v>2079</v>
      </c>
      <c r="B2010" s="635">
        <v>18.5</v>
      </c>
      <c r="C2010" s="636">
        <v>600</v>
      </c>
      <c r="D2010" s="636">
        <v>11100</v>
      </c>
      <c r="E2010" s="603"/>
    </row>
    <row r="2011" spans="1:5" x14ac:dyDescent="0.3">
      <c r="A2011" s="635" t="s">
        <v>2078</v>
      </c>
      <c r="B2011" s="635">
        <v>18.5</v>
      </c>
      <c r="C2011" s="636">
        <v>320</v>
      </c>
      <c r="D2011" s="636">
        <v>5920</v>
      </c>
      <c r="E2011" s="603"/>
    </row>
    <row r="2012" spans="1:5" x14ac:dyDescent="0.3">
      <c r="A2012" s="635" t="s">
        <v>2077</v>
      </c>
      <c r="B2012" s="635">
        <v>17.95</v>
      </c>
      <c r="C2012" s="636">
        <v>900</v>
      </c>
      <c r="D2012" s="636">
        <v>16155</v>
      </c>
      <c r="E2012" s="603"/>
    </row>
    <row r="2013" spans="1:5" x14ac:dyDescent="0.3">
      <c r="A2013" s="635" t="s">
        <v>2076</v>
      </c>
      <c r="B2013" s="635">
        <v>17.95</v>
      </c>
      <c r="C2013" s="636">
        <v>60</v>
      </c>
      <c r="D2013" s="636">
        <v>1077</v>
      </c>
      <c r="E2013" s="603"/>
    </row>
    <row r="2014" spans="1:5" x14ac:dyDescent="0.3">
      <c r="A2014" s="635" t="s">
        <v>2075</v>
      </c>
      <c r="B2014" s="635">
        <v>17.95</v>
      </c>
      <c r="C2014" s="636">
        <v>500</v>
      </c>
      <c r="D2014" s="636">
        <v>8975</v>
      </c>
      <c r="E2014" s="603"/>
    </row>
    <row r="2015" spans="1:5" x14ac:dyDescent="0.3">
      <c r="A2015" s="635" t="s">
        <v>2074</v>
      </c>
      <c r="B2015" s="635">
        <v>18.03</v>
      </c>
      <c r="C2015" s="636">
        <v>1926</v>
      </c>
      <c r="D2015" s="636">
        <v>34725.78</v>
      </c>
      <c r="E2015" s="603"/>
    </row>
    <row r="2016" spans="1:5" x14ac:dyDescent="0.3">
      <c r="A2016" s="635" t="s">
        <v>2073</v>
      </c>
      <c r="B2016" s="635">
        <v>18.03</v>
      </c>
      <c r="C2016" s="636">
        <v>26</v>
      </c>
      <c r="D2016" s="636">
        <v>468.78</v>
      </c>
      <c r="E2016" s="603"/>
    </row>
    <row r="2017" spans="1:5" x14ac:dyDescent="0.3">
      <c r="A2017" s="635" t="s">
        <v>2072</v>
      </c>
      <c r="B2017" s="635">
        <v>18</v>
      </c>
      <c r="C2017" s="636">
        <v>849</v>
      </c>
      <c r="D2017" s="636">
        <v>15282</v>
      </c>
      <c r="E2017" s="603"/>
    </row>
    <row r="2018" spans="1:5" x14ac:dyDescent="0.3">
      <c r="A2018" s="635" t="s">
        <v>571</v>
      </c>
      <c r="B2018" s="635">
        <v>18</v>
      </c>
      <c r="C2018" s="636">
        <v>1300</v>
      </c>
      <c r="D2018" s="636">
        <v>23400</v>
      </c>
      <c r="E2018" s="603"/>
    </row>
    <row r="2019" spans="1:5" x14ac:dyDescent="0.3">
      <c r="A2019" s="635" t="s">
        <v>2071</v>
      </c>
      <c r="B2019" s="635">
        <v>18</v>
      </c>
      <c r="C2019" s="636">
        <v>70</v>
      </c>
      <c r="D2019" s="636">
        <v>1260</v>
      </c>
      <c r="E2019" s="603"/>
    </row>
    <row r="2020" spans="1:5" x14ac:dyDescent="0.3">
      <c r="A2020" s="635" t="s">
        <v>2070</v>
      </c>
      <c r="B2020" s="635">
        <v>18.03</v>
      </c>
      <c r="C2020" s="636">
        <v>644</v>
      </c>
      <c r="D2020" s="636">
        <v>11611.32</v>
      </c>
      <c r="E2020" s="603"/>
    </row>
    <row r="2021" spans="1:5" x14ac:dyDescent="0.3">
      <c r="A2021" s="635" t="s">
        <v>2069</v>
      </c>
      <c r="B2021" s="635">
        <v>18.03</v>
      </c>
      <c r="C2021" s="636">
        <v>75</v>
      </c>
      <c r="D2021" s="636">
        <v>1352.25</v>
      </c>
      <c r="E2021" s="603"/>
    </row>
    <row r="2022" spans="1:5" x14ac:dyDescent="0.3">
      <c r="A2022" s="635" t="s">
        <v>2068</v>
      </c>
      <c r="B2022" s="635">
        <v>18.100000000000001</v>
      </c>
      <c r="C2022" s="636">
        <v>1500</v>
      </c>
      <c r="D2022" s="636">
        <v>27150</v>
      </c>
      <c r="E2022" s="603"/>
    </row>
    <row r="2023" spans="1:5" x14ac:dyDescent="0.3">
      <c r="A2023" s="635" t="s">
        <v>2067</v>
      </c>
      <c r="B2023" s="635">
        <v>18.5</v>
      </c>
      <c r="C2023" s="636">
        <v>1500</v>
      </c>
      <c r="D2023" s="636">
        <v>27750</v>
      </c>
      <c r="E2023" s="603"/>
    </row>
    <row r="2024" spans="1:5" x14ac:dyDescent="0.3">
      <c r="A2024" s="635" t="s">
        <v>2066</v>
      </c>
      <c r="B2024" s="635">
        <v>18.88</v>
      </c>
      <c r="C2024" s="636">
        <v>4438</v>
      </c>
      <c r="D2024" s="636">
        <v>83789.440000000002</v>
      </c>
      <c r="E2024" s="603"/>
    </row>
    <row r="2025" spans="1:5" x14ac:dyDescent="0.3">
      <c r="A2025" s="635" t="s">
        <v>2065</v>
      </c>
      <c r="B2025" s="635">
        <v>18.850000000000001</v>
      </c>
      <c r="C2025" s="636">
        <v>1283</v>
      </c>
      <c r="D2025" s="636">
        <v>24184.55</v>
      </c>
      <c r="E2025" s="603"/>
    </row>
    <row r="2026" spans="1:5" x14ac:dyDescent="0.3">
      <c r="A2026" s="635" t="s">
        <v>2064</v>
      </c>
      <c r="B2026" s="635">
        <v>19</v>
      </c>
      <c r="C2026" s="636">
        <v>1049</v>
      </c>
      <c r="D2026" s="636">
        <v>19931</v>
      </c>
      <c r="E2026" s="603"/>
    </row>
    <row r="2027" spans="1:5" x14ac:dyDescent="0.3">
      <c r="A2027" s="635" t="s">
        <v>2063</v>
      </c>
      <c r="B2027" s="635">
        <v>19</v>
      </c>
      <c r="C2027" s="636">
        <v>464</v>
      </c>
      <c r="D2027" s="636">
        <v>8816</v>
      </c>
      <c r="E2027" s="603"/>
    </row>
    <row r="2028" spans="1:5" x14ac:dyDescent="0.3">
      <c r="A2028" s="635" t="s">
        <v>2062</v>
      </c>
      <c r="B2028" s="635">
        <v>19</v>
      </c>
      <c r="C2028" s="636">
        <v>840</v>
      </c>
      <c r="D2028" s="636">
        <v>15960</v>
      </c>
      <c r="E2028" s="603"/>
    </row>
    <row r="2029" spans="1:5" x14ac:dyDescent="0.3">
      <c r="A2029" s="635" t="s">
        <v>2061</v>
      </c>
      <c r="B2029" s="635">
        <v>19</v>
      </c>
      <c r="C2029" s="636">
        <v>415</v>
      </c>
      <c r="D2029" s="636">
        <v>7885</v>
      </c>
      <c r="E2029" s="603"/>
    </row>
    <row r="2030" spans="1:5" x14ac:dyDescent="0.3">
      <c r="A2030" s="635" t="s">
        <v>2060</v>
      </c>
      <c r="B2030" s="635">
        <v>19.239999999999998</v>
      </c>
      <c r="C2030" s="636">
        <v>2215</v>
      </c>
      <c r="D2030" s="636">
        <v>42616.6</v>
      </c>
      <c r="E2030" s="603"/>
    </row>
    <row r="2031" spans="1:5" x14ac:dyDescent="0.3">
      <c r="A2031" s="635" t="s">
        <v>2059</v>
      </c>
      <c r="B2031" s="635">
        <v>19.98</v>
      </c>
      <c r="C2031" s="636">
        <v>645</v>
      </c>
      <c r="D2031" s="636">
        <v>12887.1</v>
      </c>
      <c r="E2031" s="603"/>
    </row>
    <row r="2032" spans="1:5" x14ac:dyDescent="0.3">
      <c r="A2032" s="635" t="s">
        <v>572</v>
      </c>
      <c r="B2032" s="635">
        <v>19.98</v>
      </c>
      <c r="C2032" s="636">
        <v>250</v>
      </c>
      <c r="D2032" s="636">
        <v>4995</v>
      </c>
      <c r="E2032" s="603"/>
    </row>
    <row r="2033" spans="1:5" x14ac:dyDescent="0.3">
      <c r="A2033" s="635" t="s">
        <v>2058</v>
      </c>
      <c r="B2033" s="635">
        <v>20.23</v>
      </c>
      <c r="C2033" s="636">
        <v>670</v>
      </c>
      <c r="D2033" s="636">
        <v>13554.1</v>
      </c>
      <c r="E2033" s="603"/>
    </row>
    <row r="2034" spans="1:5" x14ac:dyDescent="0.3">
      <c r="A2034" s="635" t="s">
        <v>2057</v>
      </c>
      <c r="B2034" s="635">
        <v>19.47</v>
      </c>
      <c r="C2034" s="636">
        <v>3000</v>
      </c>
      <c r="D2034" s="636">
        <v>58410</v>
      </c>
      <c r="E2034" s="603"/>
    </row>
    <row r="2035" spans="1:5" x14ac:dyDescent="0.3">
      <c r="A2035" s="635" t="s">
        <v>2056</v>
      </c>
      <c r="B2035" s="635">
        <v>19.47</v>
      </c>
      <c r="C2035" s="636">
        <v>270</v>
      </c>
      <c r="D2035" s="636">
        <v>5256.9</v>
      </c>
      <c r="E2035" s="603"/>
    </row>
    <row r="2036" spans="1:5" x14ac:dyDescent="0.3">
      <c r="A2036" s="635" t="s">
        <v>2055</v>
      </c>
      <c r="B2036" s="635">
        <v>19.55</v>
      </c>
      <c r="C2036" s="636">
        <v>896</v>
      </c>
      <c r="D2036" s="636">
        <v>17516.8</v>
      </c>
      <c r="E2036" s="603"/>
    </row>
    <row r="2037" spans="1:5" x14ac:dyDescent="0.3">
      <c r="A2037" s="635" t="s">
        <v>2054</v>
      </c>
      <c r="B2037" s="635">
        <v>21.24</v>
      </c>
      <c r="C2037" s="636">
        <v>2516</v>
      </c>
      <c r="D2037" s="636">
        <v>53439.839999999997</v>
      </c>
      <c r="E2037" s="603"/>
    </row>
    <row r="2038" spans="1:5" x14ac:dyDescent="0.3">
      <c r="A2038" s="635" t="s">
        <v>2053</v>
      </c>
      <c r="B2038" s="635">
        <v>23.35</v>
      </c>
      <c r="C2038" s="636">
        <v>6300</v>
      </c>
      <c r="D2038" s="636">
        <v>147105</v>
      </c>
      <c r="E2038" s="603"/>
    </row>
    <row r="2039" spans="1:5" x14ac:dyDescent="0.3">
      <c r="A2039" s="635" t="s">
        <v>2052</v>
      </c>
      <c r="B2039" s="635">
        <v>24.77</v>
      </c>
      <c r="C2039" s="636">
        <v>3200</v>
      </c>
      <c r="D2039" s="636">
        <v>79264</v>
      </c>
      <c r="E2039" s="603"/>
    </row>
    <row r="2040" spans="1:5" x14ac:dyDescent="0.3">
      <c r="A2040" s="635" t="s">
        <v>2051</v>
      </c>
      <c r="B2040" s="635">
        <v>23.11</v>
      </c>
      <c r="C2040" s="636">
        <v>9663</v>
      </c>
      <c r="D2040" s="636">
        <v>223311.93</v>
      </c>
      <c r="E2040" s="603"/>
    </row>
    <row r="2041" spans="1:5" x14ac:dyDescent="0.3">
      <c r="A2041" s="635" t="s">
        <v>2050</v>
      </c>
      <c r="B2041" s="635">
        <v>23.11</v>
      </c>
      <c r="C2041" s="636">
        <v>100</v>
      </c>
      <c r="D2041" s="636">
        <v>2311</v>
      </c>
      <c r="E2041" s="603"/>
    </row>
    <row r="2042" spans="1:5" x14ac:dyDescent="0.3">
      <c r="A2042" s="635" t="s">
        <v>2049</v>
      </c>
      <c r="B2042" s="635">
        <v>23.13</v>
      </c>
      <c r="C2042" s="636">
        <v>1330</v>
      </c>
      <c r="D2042" s="636">
        <v>30762.9</v>
      </c>
      <c r="E2042" s="603"/>
    </row>
    <row r="2043" spans="1:5" x14ac:dyDescent="0.3">
      <c r="A2043" s="635" t="s">
        <v>2048</v>
      </c>
      <c r="B2043" s="635">
        <v>23.13</v>
      </c>
      <c r="C2043" s="636">
        <v>380</v>
      </c>
      <c r="D2043" s="636">
        <v>8789.4</v>
      </c>
      <c r="E2043" s="603"/>
    </row>
    <row r="2044" spans="1:5" x14ac:dyDescent="0.3">
      <c r="A2044" s="635" t="s">
        <v>2047</v>
      </c>
      <c r="B2044" s="635">
        <v>21.87</v>
      </c>
      <c r="C2044" s="636">
        <v>657</v>
      </c>
      <c r="D2044" s="636">
        <v>14368.59</v>
      </c>
      <c r="E2044" s="603"/>
    </row>
    <row r="2045" spans="1:5" x14ac:dyDescent="0.3">
      <c r="A2045" s="635" t="s">
        <v>2046</v>
      </c>
      <c r="B2045" s="635">
        <v>21.86</v>
      </c>
      <c r="C2045" s="636">
        <v>850</v>
      </c>
      <c r="D2045" s="636">
        <v>18581</v>
      </c>
      <c r="E2045" s="603"/>
    </row>
    <row r="2046" spans="1:5" x14ac:dyDescent="0.3">
      <c r="A2046" s="635" t="s">
        <v>2045</v>
      </c>
      <c r="B2046" s="635">
        <v>23.55</v>
      </c>
      <c r="C2046" s="636">
        <v>1431</v>
      </c>
      <c r="D2046" s="636">
        <v>33700.050000000003</v>
      </c>
      <c r="E2046" s="603"/>
    </row>
    <row r="2047" spans="1:5" x14ac:dyDescent="0.3">
      <c r="A2047" s="635" t="s">
        <v>2044</v>
      </c>
      <c r="B2047" s="635">
        <v>23.98</v>
      </c>
      <c r="C2047" s="636">
        <v>525</v>
      </c>
      <c r="D2047" s="636">
        <v>12589.5</v>
      </c>
      <c r="E2047" s="603"/>
    </row>
    <row r="2048" spans="1:5" x14ac:dyDescent="0.3">
      <c r="A2048" s="635" t="s">
        <v>2043</v>
      </c>
      <c r="B2048" s="635">
        <v>24.04</v>
      </c>
      <c r="C2048" s="636">
        <v>3113</v>
      </c>
      <c r="D2048" s="636">
        <v>74836.52</v>
      </c>
      <c r="E2048" s="603"/>
    </row>
    <row r="2049" spans="1:5" x14ac:dyDescent="0.3">
      <c r="A2049" s="635" t="s">
        <v>573</v>
      </c>
      <c r="B2049" s="635">
        <v>24.04</v>
      </c>
      <c r="C2049" s="636">
        <v>379</v>
      </c>
      <c r="D2049" s="636">
        <v>9111.16</v>
      </c>
      <c r="E2049" s="603"/>
    </row>
    <row r="2050" spans="1:5" x14ac:dyDescent="0.3">
      <c r="A2050" s="635" t="s">
        <v>2042</v>
      </c>
      <c r="B2050" s="635">
        <v>24.25</v>
      </c>
      <c r="C2050" s="636">
        <v>1960</v>
      </c>
      <c r="D2050" s="636">
        <v>47530</v>
      </c>
      <c r="E2050" s="603"/>
    </row>
    <row r="2051" spans="1:5" x14ac:dyDescent="0.3">
      <c r="A2051" s="635" t="s">
        <v>2041</v>
      </c>
      <c r="B2051" s="635">
        <v>23.77</v>
      </c>
      <c r="C2051" s="636">
        <v>1137</v>
      </c>
      <c r="D2051" s="636">
        <v>27026.49</v>
      </c>
      <c r="E2051" s="603"/>
    </row>
    <row r="2052" spans="1:5" x14ac:dyDescent="0.3">
      <c r="A2052" s="635" t="s">
        <v>2040</v>
      </c>
      <c r="B2052" s="635">
        <v>23.41</v>
      </c>
      <c r="C2052" s="636">
        <v>1178</v>
      </c>
      <c r="D2052" s="636">
        <v>27576.98</v>
      </c>
      <c r="E2052" s="603"/>
    </row>
    <row r="2053" spans="1:5" x14ac:dyDescent="0.3">
      <c r="A2053" s="635" t="s">
        <v>2039</v>
      </c>
      <c r="B2053" s="635">
        <v>24.2</v>
      </c>
      <c r="C2053" s="636">
        <v>1900</v>
      </c>
      <c r="D2053" s="636">
        <v>45980</v>
      </c>
      <c r="E2053" s="603"/>
    </row>
    <row r="2054" spans="1:5" x14ac:dyDescent="0.3">
      <c r="A2054" s="635" t="s">
        <v>2038</v>
      </c>
      <c r="B2054" s="635">
        <v>23.93</v>
      </c>
      <c r="C2054" s="636">
        <v>2062</v>
      </c>
      <c r="D2054" s="636">
        <v>49343.66</v>
      </c>
      <c r="E2054" s="603"/>
    </row>
    <row r="2055" spans="1:5" x14ac:dyDescent="0.3">
      <c r="A2055" s="635" t="s">
        <v>2037</v>
      </c>
      <c r="B2055" s="635">
        <v>23.93</v>
      </c>
      <c r="C2055" s="636">
        <v>100</v>
      </c>
      <c r="D2055" s="636">
        <v>2393</v>
      </c>
      <c r="E2055" s="603"/>
    </row>
    <row r="2056" spans="1:5" x14ac:dyDescent="0.3">
      <c r="A2056" s="635" t="s">
        <v>2036</v>
      </c>
      <c r="B2056" s="635">
        <v>23.97</v>
      </c>
      <c r="C2056" s="636">
        <v>1779</v>
      </c>
      <c r="D2056" s="636">
        <v>42642.63</v>
      </c>
      <c r="E2056" s="603"/>
    </row>
    <row r="2057" spans="1:5" x14ac:dyDescent="0.3">
      <c r="A2057" s="635" t="s">
        <v>2035</v>
      </c>
      <c r="B2057" s="635">
        <v>23.24</v>
      </c>
      <c r="C2057" s="636">
        <v>1794</v>
      </c>
      <c r="D2057" s="636">
        <v>41692.559999999998</v>
      </c>
      <c r="E2057" s="603"/>
    </row>
    <row r="2058" spans="1:5" x14ac:dyDescent="0.3">
      <c r="A2058" s="635" t="s">
        <v>2034</v>
      </c>
      <c r="B2058" s="635">
        <v>23.24</v>
      </c>
      <c r="C2058" s="636">
        <v>60</v>
      </c>
      <c r="D2058" s="636">
        <v>1394.4</v>
      </c>
      <c r="E2058" s="603"/>
    </row>
    <row r="2059" spans="1:5" x14ac:dyDescent="0.3">
      <c r="A2059" s="635" t="s">
        <v>2033</v>
      </c>
      <c r="B2059" s="635">
        <v>23.24</v>
      </c>
      <c r="C2059" s="636">
        <v>150</v>
      </c>
      <c r="D2059" s="636">
        <v>3486</v>
      </c>
      <c r="E2059" s="603"/>
    </row>
    <row r="2060" spans="1:5" x14ac:dyDescent="0.3">
      <c r="A2060" s="635" t="s">
        <v>2032</v>
      </c>
      <c r="B2060" s="635">
        <v>23.24</v>
      </c>
      <c r="C2060" s="636">
        <v>218</v>
      </c>
      <c r="D2060" s="636">
        <v>5066.32</v>
      </c>
      <c r="E2060" s="603"/>
    </row>
    <row r="2061" spans="1:5" x14ac:dyDescent="0.3">
      <c r="A2061" s="635" t="s">
        <v>2031</v>
      </c>
      <c r="B2061" s="635">
        <v>24.03</v>
      </c>
      <c r="C2061" s="636">
        <v>660</v>
      </c>
      <c r="D2061" s="636">
        <v>15859.8</v>
      </c>
      <c r="E2061" s="603"/>
    </row>
    <row r="2062" spans="1:5" x14ac:dyDescent="0.3">
      <c r="A2062" s="635" t="s">
        <v>2030</v>
      </c>
      <c r="B2062" s="635">
        <v>23.66</v>
      </c>
      <c r="C2062" s="636">
        <v>996</v>
      </c>
      <c r="D2062" s="636">
        <v>23565.360000000001</v>
      </c>
      <c r="E2062" s="603"/>
    </row>
    <row r="2063" spans="1:5" x14ac:dyDescent="0.3">
      <c r="A2063" s="635" t="s">
        <v>2029</v>
      </c>
      <c r="B2063" s="635">
        <v>23.93</v>
      </c>
      <c r="C2063" s="636">
        <v>1395</v>
      </c>
      <c r="D2063" s="636">
        <v>33382.35</v>
      </c>
      <c r="E2063" s="603"/>
    </row>
    <row r="2064" spans="1:5" x14ac:dyDescent="0.3">
      <c r="A2064" s="635" t="s">
        <v>2028</v>
      </c>
      <c r="B2064" s="635">
        <v>23.76</v>
      </c>
      <c r="C2064" s="636">
        <v>845</v>
      </c>
      <c r="D2064" s="636">
        <v>20077.2</v>
      </c>
      <c r="E2064" s="603"/>
    </row>
    <row r="2065" spans="1:5" x14ac:dyDescent="0.3">
      <c r="A2065" s="635" t="s">
        <v>2027</v>
      </c>
      <c r="B2065" s="635">
        <v>23.76</v>
      </c>
      <c r="C2065" s="636">
        <v>327</v>
      </c>
      <c r="D2065" s="636">
        <v>7769.52</v>
      </c>
      <c r="E2065" s="603"/>
    </row>
    <row r="2066" spans="1:5" x14ac:dyDescent="0.3">
      <c r="A2066" s="635" t="s">
        <v>2026</v>
      </c>
      <c r="B2066" s="635">
        <v>23.76</v>
      </c>
      <c r="C2066" s="636">
        <v>75</v>
      </c>
      <c r="D2066" s="636">
        <v>1782</v>
      </c>
      <c r="E2066" s="603"/>
    </row>
    <row r="2067" spans="1:5" x14ac:dyDescent="0.3">
      <c r="A2067" s="635" t="s">
        <v>2025</v>
      </c>
      <c r="B2067" s="635">
        <v>24</v>
      </c>
      <c r="C2067" s="636">
        <v>893</v>
      </c>
      <c r="D2067" s="636">
        <v>21432</v>
      </c>
      <c r="E2067" s="603"/>
    </row>
    <row r="2068" spans="1:5" x14ac:dyDescent="0.3">
      <c r="A2068" s="635" t="s">
        <v>2024</v>
      </c>
      <c r="B2068" s="635">
        <v>23.7</v>
      </c>
      <c r="C2068" s="636">
        <v>587</v>
      </c>
      <c r="D2068" s="636">
        <v>13911.9</v>
      </c>
      <c r="E2068" s="603"/>
    </row>
    <row r="2069" spans="1:5" x14ac:dyDescent="0.3">
      <c r="A2069" s="635" t="s">
        <v>574</v>
      </c>
      <c r="B2069" s="635">
        <v>23.7</v>
      </c>
      <c r="C2069" s="636">
        <v>250</v>
      </c>
      <c r="D2069" s="636">
        <v>5925</v>
      </c>
      <c r="E2069" s="603"/>
    </row>
    <row r="2070" spans="1:5" x14ac:dyDescent="0.3">
      <c r="A2070" s="635" t="s">
        <v>2023</v>
      </c>
      <c r="B2070" s="635">
        <v>23.82</v>
      </c>
      <c r="C2070" s="636">
        <v>1222</v>
      </c>
      <c r="D2070" s="636">
        <v>29108.04</v>
      </c>
      <c r="E2070" s="603"/>
    </row>
    <row r="2071" spans="1:5" x14ac:dyDescent="0.3">
      <c r="A2071" s="635" t="s">
        <v>2022</v>
      </c>
      <c r="B2071" s="635">
        <v>23.6</v>
      </c>
      <c r="C2071" s="636">
        <v>5606</v>
      </c>
      <c r="D2071" s="636">
        <v>132301.6</v>
      </c>
      <c r="E2071" s="603"/>
    </row>
    <row r="2072" spans="1:5" x14ac:dyDescent="0.3">
      <c r="A2072" s="635" t="s">
        <v>2021</v>
      </c>
      <c r="B2072" s="635">
        <v>23.54</v>
      </c>
      <c r="C2072" s="636">
        <v>430</v>
      </c>
      <c r="D2072" s="636">
        <v>10122.200000000001</v>
      </c>
      <c r="E2072" s="603"/>
    </row>
    <row r="2073" spans="1:5" x14ac:dyDescent="0.3">
      <c r="A2073" s="635" t="s">
        <v>2020</v>
      </c>
      <c r="B2073" s="635">
        <v>23.07</v>
      </c>
      <c r="C2073" s="636">
        <v>3000</v>
      </c>
      <c r="D2073" s="636">
        <v>69210</v>
      </c>
      <c r="E2073" s="603"/>
    </row>
    <row r="2074" spans="1:5" x14ac:dyDescent="0.3">
      <c r="A2074" s="635" t="s">
        <v>2019</v>
      </c>
      <c r="B2074" s="635">
        <v>23.9</v>
      </c>
      <c r="C2074" s="636">
        <v>571</v>
      </c>
      <c r="D2074" s="636">
        <v>13646.9</v>
      </c>
      <c r="E2074" s="603"/>
    </row>
    <row r="2075" spans="1:5" x14ac:dyDescent="0.3">
      <c r="A2075" s="635" t="s">
        <v>2018</v>
      </c>
      <c r="B2075" s="635">
        <v>23.86</v>
      </c>
      <c r="C2075" s="636">
        <v>568</v>
      </c>
      <c r="D2075" s="636">
        <v>13552.48</v>
      </c>
      <c r="E2075" s="603"/>
    </row>
    <row r="2076" spans="1:5" x14ac:dyDescent="0.3">
      <c r="A2076" s="635" t="s">
        <v>2017</v>
      </c>
      <c r="B2076" s="635">
        <v>23.96</v>
      </c>
      <c r="C2076" s="636">
        <v>521</v>
      </c>
      <c r="D2076" s="636">
        <v>12483.16</v>
      </c>
      <c r="E2076" s="603"/>
    </row>
    <row r="2077" spans="1:5" x14ac:dyDescent="0.3">
      <c r="A2077" s="635" t="s">
        <v>2016</v>
      </c>
      <c r="B2077" s="635">
        <v>23.96</v>
      </c>
      <c r="C2077" s="636">
        <v>255</v>
      </c>
      <c r="D2077" s="636">
        <v>6109.8</v>
      </c>
      <c r="E2077" s="603"/>
    </row>
    <row r="2078" spans="1:5" x14ac:dyDescent="0.3">
      <c r="A2078" s="635" t="s">
        <v>2015</v>
      </c>
      <c r="B2078" s="635">
        <v>23.37</v>
      </c>
      <c r="C2078" s="636">
        <v>3317</v>
      </c>
      <c r="D2078" s="636">
        <v>77518.290000000008</v>
      </c>
      <c r="E2078" s="603"/>
    </row>
    <row r="2079" spans="1:5" x14ac:dyDescent="0.3">
      <c r="A2079" s="635" t="s">
        <v>2014</v>
      </c>
      <c r="B2079" s="635">
        <v>23.3</v>
      </c>
      <c r="C2079" s="636">
        <v>600</v>
      </c>
      <c r="D2079" s="636">
        <v>13980</v>
      </c>
      <c r="E2079" s="603"/>
    </row>
    <row r="2080" spans="1:5" x14ac:dyDescent="0.3">
      <c r="A2080" s="635" t="s">
        <v>2013</v>
      </c>
      <c r="B2080" s="635">
        <v>23.3</v>
      </c>
      <c r="C2080" s="636">
        <v>100</v>
      </c>
      <c r="D2080" s="636">
        <v>2330</v>
      </c>
      <c r="E2080" s="603"/>
    </row>
    <row r="2081" spans="1:5" x14ac:dyDescent="0.3">
      <c r="A2081" s="635" t="s">
        <v>2012</v>
      </c>
      <c r="B2081" s="635">
        <v>23.18</v>
      </c>
      <c r="C2081" s="636">
        <v>900</v>
      </c>
      <c r="D2081" s="636">
        <v>20862</v>
      </c>
      <c r="E2081" s="603"/>
    </row>
    <row r="2082" spans="1:5" x14ac:dyDescent="0.3">
      <c r="A2082" s="635" t="s">
        <v>2011</v>
      </c>
      <c r="B2082" s="635">
        <v>24</v>
      </c>
      <c r="C2082" s="636">
        <v>849</v>
      </c>
      <c r="D2082" s="636">
        <v>20376</v>
      </c>
      <c r="E2082" s="603"/>
    </row>
    <row r="2083" spans="1:5" x14ac:dyDescent="0.3">
      <c r="A2083" s="635" t="s">
        <v>2010</v>
      </c>
      <c r="B2083" s="635">
        <v>23.82</v>
      </c>
      <c r="C2083" s="636">
        <v>900</v>
      </c>
      <c r="D2083" s="636">
        <v>21438</v>
      </c>
      <c r="E2083" s="603"/>
    </row>
    <row r="2084" spans="1:5" x14ac:dyDescent="0.3">
      <c r="A2084" s="635" t="s">
        <v>2009</v>
      </c>
      <c r="B2084" s="635">
        <v>23.82</v>
      </c>
      <c r="C2084" s="636">
        <v>300</v>
      </c>
      <c r="D2084" s="636">
        <v>7146</v>
      </c>
      <c r="E2084" s="603"/>
    </row>
    <row r="2085" spans="1:5" x14ac:dyDescent="0.3">
      <c r="A2085" s="635" t="s">
        <v>575</v>
      </c>
      <c r="B2085" s="635">
        <v>23.78</v>
      </c>
      <c r="C2085" s="636">
        <v>541</v>
      </c>
      <c r="D2085" s="636">
        <v>12864.98</v>
      </c>
      <c r="E2085" s="603"/>
    </row>
    <row r="2086" spans="1:5" x14ac:dyDescent="0.3">
      <c r="A2086" s="635" t="s">
        <v>2008</v>
      </c>
      <c r="B2086" s="635">
        <v>23.59</v>
      </c>
      <c r="C2086" s="636">
        <v>1000</v>
      </c>
      <c r="D2086" s="636">
        <v>23590</v>
      </c>
      <c r="E2086" s="603"/>
    </row>
    <row r="2087" spans="1:5" x14ac:dyDescent="0.3">
      <c r="A2087" s="635" t="s">
        <v>2007</v>
      </c>
      <c r="B2087" s="635">
        <v>24.52</v>
      </c>
      <c r="C2087" s="636">
        <v>3998</v>
      </c>
      <c r="D2087" s="636">
        <v>98030.959999999992</v>
      </c>
      <c r="E2087" s="603"/>
    </row>
    <row r="2088" spans="1:5" x14ac:dyDescent="0.3">
      <c r="A2088" s="635" t="s">
        <v>2006</v>
      </c>
      <c r="B2088" s="635">
        <v>25.4</v>
      </c>
      <c r="C2088" s="636">
        <v>52838</v>
      </c>
      <c r="D2088" s="636">
        <v>1342085.2</v>
      </c>
      <c r="E2088" s="603"/>
    </row>
    <row r="2089" spans="1:5" x14ac:dyDescent="0.3">
      <c r="A2089" s="635" t="s">
        <v>2005</v>
      </c>
      <c r="B2089" s="635">
        <v>27.31</v>
      </c>
      <c r="C2089" s="636">
        <v>25044</v>
      </c>
      <c r="D2089" s="636">
        <v>683951.64</v>
      </c>
      <c r="E2089" s="603"/>
    </row>
    <row r="2090" spans="1:5" x14ac:dyDescent="0.3">
      <c r="A2090" s="635" t="s">
        <v>2004</v>
      </c>
      <c r="B2090" s="635">
        <v>26.25</v>
      </c>
      <c r="C2090" s="636">
        <v>42902</v>
      </c>
      <c r="D2090" s="636">
        <v>1126177.5</v>
      </c>
      <c r="E2090" s="603"/>
    </row>
    <row r="2091" spans="1:5" x14ac:dyDescent="0.3">
      <c r="A2091" s="635" t="s">
        <v>2003</v>
      </c>
      <c r="B2091" s="635">
        <v>25.96</v>
      </c>
      <c r="C2091" s="636">
        <v>3810</v>
      </c>
      <c r="D2091" s="636">
        <v>98907.6</v>
      </c>
      <c r="E2091" s="603"/>
    </row>
    <row r="2092" spans="1:5" x14ac:dyDescent="0.3">
      <c r="A2092" s="635" t="s">
        <v>2002</v>
      </c>
      <c r="B2092" s="635">
        <v>27.63</v>
      </c>
      <c r="C2092" s="636">
        <v>18043</v>
      </c>
      <c r="D2092" s="636">
        <v>498528.09</v>
      </c>
      <c r="E2092" s="603"/>
    </row>
    <row r="2093" spans="1:5" x14ac:dyDescent="0.3">
      <c r="A2093" s="635" t="s">
        <v>2001</v>
      </c>
      <c r="B2093" s="635">
        <v>28.83</v>
      </c>
      <c r="C2093" s="636">
        <v>18383</v>
      </c>
      <c r="D2093" s="636">
        <v>529981.89</v>
      </c>
      <c r="E2093" s="603"/>
    </row>
    <row r="2094" spans="1:5" x14ac:dyDescent="0.3">
      <c r="A2094" s="635" t="s">
        <v>2000</v>
      </c>
      <c r="B2094" s="635">
        <v>27.8</v>
      </c>
      <c r="C2094" s="636">
        <v>13279</v>
      </c>
      <c r="D2094" s="636">
        <v>369156.2</v>
      </c>
      <c r="E2094" s="603"/>
    </row>
    <row r="2095" spans="1:5" x14ac:dyDescent="0.3">
      <c r="A2095" s="635" t="s">
        <v>1999</v>
      </c>
      <c r="B2095" s="635">
        <v>29.22</v>
      </c>
      <c r="C2095" s="636">
        <v>32029</v>
      </c>
      <c r="D2095" s="636">
        <v>935887.38</v>
      </c>
      <c r="E2095" s="603"/>
    </row>
    <row r="2096" spans="1:5" x14ac:dyDescent="0.3">
      <c r="A2096" s="635" t="s">
        <v>1998</v>
      </c>
      <c r="B2096" s="635">
        <v>28.5</v>
      </c>
      <c r="C2096" s="636">
        <v>27711</v>
      </c>
      <c r="D2096" s="636">
        <v>789763.5</v>
      </c>
      <c r="E2096" s="603"/>
    </row>
    <row r="2097" spans="1:5" x14ac:dyDescent="0.3">
      <c r="A2097" s="635" t="s">
        <v>1997</v>
      </c>
      <c r="B2097" s="635">
        <v>27.24</v>
      </c>
      <c r="C2097" s="636">
        <v>10740</v>
      </c>
      <c r="D2097" s="636">
        <v>292557.59999999998</v>
      </c>
      <c r="E2097" s="603"/>
    </row>
    <row r="2098" spans="1:5" x14ac:dyDescent="0.3">
      <c r="A2098" s="635" t="s">
        <v>1996</v>
      </c>
      <c r="B2098" s="635">
        <v>27.01</v>
      </c>
      <c r="C2098" s="636">
        <v>2974</v>
      </c>
      <c r="D2098" s="636">
        <v>80327.740000000005</v>
      </c>
      <c r="E2098" s="603"/>
    </row>
    <row r="2099" spans="1:5" x14ac:dyDescent="0.3">
      <c r="A2099" s="635" t="s">
        <v>1995</v>
      </c>
      <c r="B2099" s="635">
        <v>26.58</v>
      </c>
      <c r="C2099" s="636">
        <v>11541</v>
      </c>
      <c r="D2099" s="636">
        <v>306759.78000000003</v>
      </c>
      <c r="E2099" s="603"/>
    </row>
    <row r="2100" spans="1:5" x14ac:dyDescent="0.3">
      <c r="A2100" s="635" t="s">
        <v>1994</v>
      </c>
      <c r="B2100" s="635">
        <v>25.24</v>
      </c>
      <c r="C2100" s="636">
        <v>3000</v>
      </c>
      <c r="D2100" s="636">
        <v>75720</v>
      </c>
      <c r="E2100" s="603"/>
    </row>
    <row r="2101" spans="1:5" x14ac:dyDescent="0.3">
      <c r="A2101" s="635" t="s">
        <v>1993</v>
      </c>
      <c r="B2101" s="635">
        <v>25.4</v>
      </c>
      <c r="C2101" s="636">
        <v>10084</v>
      </c>
      <c r="D2101" s="636">
        <v>256133.6</v>
      </c>
      <c r="E2101" s="603"/>
    </row>
    <row r="2102" spans="1:5" x14ac:dyDescent="0.3">
      <c r="A2102" s="635" t="s">
        <v>1992</v>
      </c>
      <c r="B2102" s="635">
        <v>25.2</v>
      </c>
      <c r="C2102" s="636">
        <v>10036</v>
      </c>
      <c r="D2102" s="636">
        <v>252907.2</v>
      </c>
      <c r="E2102" s="603"/>
    </row>
    <row r="2103" spans="1:5" x14ac:dyDescent="0.3">
      <c r="A2103" s="635" t="s">
        <v>1991</v>
      </c>
      <c r="B2103" s="635">
        <v>24.91</v>
      </c>
      <c r="C2103" s="636">
        <v>13224</v>
      </c>
      <c r="D2103" s="636">
        <v>329409.84000000003</v>
      </c>
      <c r="E2103" s="603"/>
    </row>
    <row r="2104" spans="1:5" x14ac:dyDescent="0.3">
      <c r="A2104" s="635" t="s">
        <v>1990</v>
      </c>
      <c r="B2104" s="635">
        <v>26.41</v>
      </c>
      <c r="C2104" s="636">
        <v>9213</v>
      </c>
      <c r="D2104" s="636">
        <v>243315.33</v>
      </c>
      <c r="E2104" s="603"/>
    </row>
    <row r="2105" spans="1:5" x14ac:dyDescent="0.3">
      <c r="A2105" s="635" t="s">
        <v>576</v>
      </c>
      <c r="B2105" s="635">
        <v>26</v>
      </c>
      <c r="C2105" s="636">
        <v>1400</v>
      </c>
      <c r="D2105" s="636">
        <v>36400</v>
      </c>
      <c r="E2105" s="603"/>
    </row>
    <row r="2106" spans="1:5" x14ac:dyDescent="0.3">
      <c r="A2106" s="635" t="s">
        <v>1989</v>
      </c>
      <c r="B2106" s="635">
        <v>25.86</v>
      </c>
      <c r="C2106" s="636">
        <v>12666</v>
      </c>
      <c r="D2106" s="636">
        <v>327542.76</v>
      </c>
      <c r="E2106" s="603"/>
    </row>
    <row r="2107" spans="1:5" x14ac:dyDescent="0.3">
      <c r="A2107" s="635" t="s">
        <v>1988</v>
      </c>
      <c r="B2107" s="635">
        <v>26.16</v>
      </c>
      <c r="C2107" s="636">
        <v>6648</v>
      </c>
      <c r="D2107" s="636">
        <v>173911.67999999999</v>
      </c>
      <c r="E2107" s="603"/>
    </row>
    <row r="2108" spans="1:5" x14ac:dyDescent="0.3">
      <c r="A2108" s="635" t="s">
        <v>1987</v>
      </c>
      <c r="B2108" s="635">
        <v>26.81</v>
      </c>
      <c r="C2108" s="636">
        <v>9119</v>
      </c>
      <c r="D2108" s="636">
        <v>244480.39</v>
      </c>
      <c r="E2108" s="603"/>
    </row>
    <row r="2109" spans="1:5" x14ac:dyDescent="0.3">
      <c r="A2109" s="635" t="s">
        <v>1986</v>
      </c>
      <c r="B2109" s="635">
        <v>26.64</v>
      </c>
      <c r="C2109" s="636">
        <v>9066</v>
      </c>
      <c r="D2109" s="636">
        <v>241518.24</v>
      </c>
      <c r="E2109" s="603"/>
    </row>
    <row r="2110" spans="1:5" x14ac:dyDescent="0.3">
      <c r="A2110" s="635" t="s">
        <v>1985</v>
      </c>
      <c r="B2110" s="635">
        <v>26.25</v>
      </c>
      <c r="C2110" s="636">
        <v>11595</v>
      </c>
      <c r="D2110" s="636">
        <v>304368.75</v>
      </c>
      <c r="E2110" s="603"/>
    </row>
    <row r="2111" spans="1:5" x14ac:dyDescent="0.3">
      <c r="A2111" s="635" t="s">
        <v>1984</v>
      </c>
      <c r="B2111" s="635">
        <v>27.94</v>
      </c>
      <c r="C2111" s="636">
        <v>19320</v>
      </c>
      <c r="D2111" s="636">
        <v>539800.80000000005</v>
      </c>
      <c r="E2111" s="603"/>
    </row>
    <row r="2112" spans="1:5" x14ac:dyDescent="0.3">
      <c r="A2112" s="635" t="s">
        <v>1983</v>
      </c>
      <c r="B2112" s="635">
        <v>28.12</v>
      </c>
      <c r="C2112" s="636">
        <v>10435</v>
      </c>
      <c r="D2112" s="636">
        <v>293432.2</v>
      </c>
      <c r="E2112" s="603"/>
    </row>
    <row r="2113" spans="1:5" x14ac:dyDescent="0.3">
      <c r="A2113" s="635" t="s">
        <v>1982</v>
      </c>
      <c r="B2113" s="635">
        <v>28.04</v>
      </c>
      <c r="C2113" s="636">
        <v>22899</v>
      </c>
      <c r="D2113" s="636">
        <v>642087.96</v>
      </c>
      <c r="E2113" s="603"/>
    </row>
    <row r="2114" spans="1:5" x14ac:dyDescent="0.3">
      <c r="A2114" s="635" t="s">
        <v>1981</v>
      </c>
      <c r="B2114" s="635">
        <v>30.28</v>
      </c>
      <c r="C2114" s="636">
        <v>40129</v>
      </c>
      <c r="D2114" s="636">
        <v>1215106.1200000001</v>
      </c>
      <c r="E2114" s="603"/>
    </row>
    <row r="2115" spans="1:5" x14ac:dyDescent="0.3">
      <c r="A2115" s="635" t="s">
        <v>1980</v>
      </c>
      <c r="B2115" s="635">
        <v>31.81</v>
      </c>
      <c r="C2115" s="636">
        <v>29037</v>
      </c>
      <c r="D2115" s="636">
        <v>923666.97</v>
      </c>
      <c r="E2115" s="603"/>
    </row>
    <row r="2116" spans="1:5" x14ac:dyDescent="0.3">
      <c r="A2116" s="635" t="s">
        <v>1979</v>
      </c>
      <c r="B2116" s="635">
        <v>32.450000000000003</v>
      </c>
      <c r="C2116" s="636">
        <v>30580</v>
      </c>
      <c r="D2116" s="636">
        <v>992321.00000000012</v>
      </c>
      <c r="E2116" s="603"/>
    </row>
    <row r="2117" spans="1:5" x14ac:dyDescent="0.3">
      <c r="A2117" s="635" t="s">
        <v>1978</v>
      </c>
      <c r="B2117" s="635">
        <v>32.29</v>
      </c>
      <c r="C2117" s="636">
        <v>16662</v>
      </c>
      <c r="D2117" s="636">
        <v>538015.98</v>
      </c>
      <c r="E2117" s="603"/>
    </row>
    <row r="2118" spans="1:5" x14ac:dyDescent="0.3">
      <c r="A2118" s="635" t="s">
        <v>1977</v>
      </c>
      <c r="B2118" s="635">
        <v>33.36</v>
      </c>
      <c r="C2118" s="636">
        <v>18265</v>
      </c>
      <c r="D2118" s="636">
        <v>609320.4</v>
      </c>
      <c r="E2118" s="603"/>
    </row>
    <row r="2119" spans="1:5" x14ac:dyDescent="0.3">
      <c r="A2119" s="635" t="s">
        <v>1976</v>
      </c>
      <c r="B2119" s="635">
        <v>32.08</v>
      </c>
      <c r="C2119" s="636">
        <v>3108</v>
      </c>
      <c r="D2119" s="636">
        <v>99704.639999999999</v>
      </c>
      <c r="E2119" s="603"/>
    </row>
    <row r="2120" spans="1:5" x14ac:dyDescent="0.3">
      <c r="A2120" s="635" t="s">
        <v>1975</v>
      </c>
      <c r="B2120" s="635">
        <v>31.97</v>
      </c>
      <c r="C2120" s="636">
        <v>10996</v>
      </c>
      <c r="D2120" s="636">
        <v>351542.12</v>
      </c>
      <c r="E2120" s="603"/>
    </row>
    <row r="2121" spans="1:5" x14ac:dyDescent="0.3">
      <c r="A2121" s="635" t="s">
        <v>1974</v>
      </c>
      <c r="B2121" s="635">
        <v>32.700000000000003</v>
      </c>
      <c r="C2121" s="636">
        <v>14996</v>
      </c>
      <c r="D2121" s="636">
        <v>490369.20000000013</v>
      </c>
      <c r="E2121" s="603"/>
    </row>
    <row r="2122" spans="1:5" x14ac:dyDescent="0.3">
      <c r="A2122" s="635" t="s">
        <v>1973</v>
      </c>
      <c r="B2122" s="635">
        <v>31.99</v>
      </c>
      <c r="C2122" s="636">
        <v>3334</v>
      </c>
      <c r="D2122" s="636">
        <v>106654.66</v>
      </c>
      <c r="E2122" s="603"/>
    </row>
    <row r="2123" spans="1:5" x14ac:dyDescent="0.3">
      <c r="A2123" s="635" t="s">
        <v>1972</v>
      </c>
      <c r="B2123" s="635">
        <v>32.83</v>
      </c>
      <c r="C2123" s="636">
        <v>16701</v>
      </c>
      <c r="D2123" s="636">
        <v>548293.82999999996</v>
      </c>
      <c r="E2123" s="603"/>
    </row>
    <row r="2124" spans="1:5" x14ac:dyDescent="0.3">
      <c r="A2124" s="635" t="s">
        <v>1971</v>
      </c>
      <c r="B2124" s="635">
        <v>31.33</v>
      </c>
      <c r="C2124" s="636">
        <v>1157</v>
      </c>
      <c r="D2124" s="636">
        <v>36248.81</v>
      </c>
      <c r="E2124" s="603"/>
    </row>
    <row r="2125" spans="1:5" x14ac:dyDescent="0.3">
      <c r="A2125" s="635" t="s">
        <v>1970</v>
      </c>
      <c r="B2125" s="635">
        <v>30.75</v>
      </c>
      <c r="C2125" s="636">
        <v>21544</v>
      </c>
      <c r="D2125" s="636">
        <v>662478</v>
      </c>
      <c r="E2125" s="603"/>
    </row>
    <row r="2126" spans="1:5" x14ac:dyDescent="0.3">
      <c r="A2126" s="635" t="s">
        <v>1969</v>
      </c>
      <c r="B2126" s="635">
        <v>31.18</v>
      </c>
      <c r="C2126" s="636">
        <v>23906</v>
      </c>
      <c r="D2126" s="636">
        <v>745389.08</v>
      </c>
      <c r="E2126" s="603"/>
    </row>
    <row r="2127" spans="1:5" x14ac:dyDescent="0.3">
      <c r="A2127" s="635" t="s">
        <v>577</v>
      </c>
      <c r="B2127" s="635">
        <v>31.38</v>
      </c>
      <c r="C2127" s="636">
        <v>322</v>
      </c>
      <c r="D2127" s="636">
        <v>10104.36</v>
      </c>
      <c r="E2127" s="603"/>
    </row>
    <row r="2128" spans="1:5" x14ac:dyDescent="0.3">
      <c r="A2128" s="635" t="s">
        <v>1968</v>
      </c>
      <c r="B2128" s="635">
        <v>30.58</v>
      </c>
      <c r="C2128" s="636">
        <v>3672</v>
      </c>
      <c r="D2128" s="636">
        <v>112289.76</v>
      </c>
      <c r="E2128" s="603"/>
    </row>
    <row r="2129" spans="1:5" x14ac:dyDescent="0.3">
      <c r="A2129" s="635" t="s">
        <v>1967</v>
      </c>
      <c r="B2129" s="635">
        <v>31.42</v>
      </c>
      <c r="C2129" s="636">
        <v>1903</v>
      </c>
      <c r="D2129" s="636">
        <v>59792.26</v>
      </c>
      <c r="E2129" s="603"/>
    </row>
    <row r="2130" spans="1:5" x14ac:dyDescent="0.3">
      <c r="A2130" s="635" t="s">
        <v>1966</v>
      </c>
      <c r="B2130" s="635">
        <v>31.22</v>
      </c>
      <c r="C2130" s="636">
        <v>1468</v>
      </c>
      <c r="D2130" s="636">
        <v>45830.96</v>
      </c>
      <c r="E2130" s="603"/>
    </row>
    <row r="2131" spans="1:5" x14ac:dyDescent="0.3">
      <c r="A2131" s="635" t="s">
        <v>1965</v>
      </c>
      <c r="B2131" s="635">
        <v>32.61</v>
      </c>
      <c r="C2131" s="636">
        <v>9791</v>
      </c>
      <c r="D2131" s="636">
        <v>319284.51</v>
      </c>
      <c r="E2131" s="603"/>
    </row>
    <row r="2132" spans="1:5" x14ac:dyDescent="0.3">
      <c r="A2132" s="635" t="s">
        <v>1964</v>
      </c>
      <c r="B2132" s="635">
        <v>33.78</v>
      </c>
      <c r="C2132" s="636">
        <v>16526</v>
      </c>
      <c r="D2132" s="636">
        <v>558248.28</v>
      </c>
      <c r="E2132" s="603"/>
    </row>
    <row r="2133" spans="1:5" x14ac:dyDescent="0.3">
      <c r="A2133" s="635" t="s">
        <v>1963</v>
      </c>
      <c r="B2133" s="635">
        <v>34.19</v>
      </c>
      <c r="C2133" s="636">
        <v>31447</v>
      </c>
      <c r="D2133" s="636">
        <v>1075172.93</v>
      </c>
      <c r="E2133" s="603"/>
    </row>
    <row r="2134" spans="1:5" x14ac:dyDescent="0.3">
      <c r="A2134" s="635" t="s">
        <v>1962</v>
      </c>
      <c r="B2134" s="635">
        <v>35.44</v>
      </c>
      <c r="C2134" s="636">
        <v>28227</v>
      </c>
      <c r="D2134" s="636">
        <v>1000364.88</v>
      </c>
      <c r="E2134" s="603"/>
    </row>
    <row r="2135" spans="1:5" x14ac:dyDescent="0.3">
      <c r="A2135" s="635" t="s">
        <v>1961</v>
      </c>
      <c r="B2135" s="635">
        <v>35.119999999999997</v>
      </c>
      <c r="C2135" s="636">
        <v>10494</v>
      </c>
      <c r="D2135" s="636">
        <v>368549.28</v>
      </c>
      <c r="E2135" s="603"/>
    </row>
    <row r="2136" spans="1:5" x14ac:dyDescent="0.3">
      <c r="A2136" s="635" t="s">
        <v>1960</v>
      </c>
      <c r="B2136" s="635">
        <v>34.17</v>
      </c>
      <c r="C2136" s="636">
        <v>3120</v>
      </c>
      <c r="D2136" s="636">
        <v>106610.4</v>
      </c>
      <c r="E2136" s="603"/>
    </row>
    <row r="2137" spans="1:5" x14ac:dyDescent="0.3">
      <c r="A2137" s="635" t="s">
        <v>1959</v>
      </c>
      <c r="B2137" s="635">
        <v>33.82</v>
      </c>
      <c r="C2137" s="636">
        <v>9231</v>
      </c>
      <c r="D2137" s="636">
        <v>312192.42</v>
      </c>
      <c r="E2137" s="603"/>
    </row>
    <row r="2138" spans="1:5" x14ac:dyDescent="0.3">
      <c r="A2138" s="635" t="s">
        <v>1958</v>
      </c>
      <c r="B2138" s="635">
        <v>33.42</v>
      </c>
      <c r="C2138" s="636">
        <v>9479</v>
      </c>
      <c r="D2138" s="636">
        <v>316788.18</v>
      </c>
      <c r="E2138" s="603"/>
    </row>
    <row r="2139" spans="1:5" x14ac:dyDescent="0.3">
      <c r="A2139" s="635" t="s">
        <v>1957</v>
      </c>
      <c r="B2139" s="635">
        <v>33.69</v>
      </c>
      <c r="C2139" s="636">
        <v>8245</v>
      </c>
      <c r="D2139" s="636">
        <v>277774.05</v>
      </c>
      <c r="E2139" s="603"/>
    </row>
    <row r="2140" spans="1:5" x14ac:dyDescent="0.3">
      <c r="A2140" s="635" t="s">
        <v>1956</v>
      </c>
      <c r="B2140" s="635">
        <v>33.020000000000003</v>
      </c>
      <c r="C2140" s="636">
        <v>10354</v>
      </c>
      <c r="D2140" s="636">
        <v>341889.08</v>
      </c>
      <c r="E2140" s="603"/>
    </row>
    <row r="2141" spans="1:5" x14ac:dyDescent="0.3">
      <c r="A2141" s="635" t="s">
        <v>1955</v>
      </c>
      <c r="B2141" s="635">
        <v>30.78</v>
      </c>
      <c r="C2141" s="636">
        <v>6554</v>
      </c>
      <c r="D2141" s="636">
        <v>201732.12</v>
      </c>
      <c r="E2141" s="603"/>
    </row>
    <row r="2142" spans="1:5" x14ac:dyDescent="0.3">
      <c r="A2142" s="635" t="s">
        <v>1954</v>
      </c>
      <c r="B2142" s="635">
        <v>28.5</v>
      </c>
      <c r="C2142" s="636">
        <v>5215</v>
      </c>
      <c r="D2142" s="636">
        <v>148627.5</v>
      </c>
      <c r="E2142" s="603"/>
    </row>
    <row r="2143" spans="1:5" x14ac:dyDescent="0.3">
      <c r="A2143" s="635" t="s">
        <v>1953</v>
      </c>
      <c r="B2143" s="635">
        <v>28.67</v>
      </c>
      <c r="C2143" s="636">
        <v>1555</v>
      </c>
      <c r="D2143" s="636">
        <v>44581.850000000013</v>
      </c>
      <c r="E2143" s="603"/>
    </row>
    <row r="2144" spans="1:5" x14ac:dyDescent="0.3">
      <c r="A2144" s="635" t="s">
        <v>1952</v>
      </c>
      <c r="B2144" s="635">
        <v>28.67</v>
      </c>
      <c r="C2144" s="636">
        <v>250</v>
      </c>
      <c r="D2144" s="636">
        <v>7167.5</v>
      </c>
      <c r="E2144" s="603"/>
    </row>
    <row r="2145" spans="1:5" x14ac:dyDescent="0.3">
      <c r="A2145" s="635" t="s">
        <v>578</v>
      </c>
      <c r="B2145" s="635">
        <v>29.15</v>
      </c>
      <c r="C2145" s="636">
        <v>620</v>
      </c>
      <c r="D2145" s="636">
        <v>18073</v>
      </c>
      <c r="E2145" s="603"/>
    </row>
    <row r="2146" spans="1:5" x14ac:dyDescent="0.3">
      <c r="A2146" s="635" t="s">
        <v>1951</v>
      </c>
      <c r="B2146" s="635">
        <v>28.77</v>
      </c>
      <c r="C2146" s="636">
        <v>1235</v>
      </c>
      <c r="D2146" s="636">
        <v>35530.949999999997</v>
      </c>
      <c r="E2146" s="603"/>
    </row>
    <row r="2147" spans="1:5" x14ac:dyDescent="0.3">
      <c r="A2147" s="635" t="s">
        <v>1950</v>
      </c>
      <c r="B2147" s="635">
        <v>28.77</v>
      </c>
      <c r="C2147" s="636">
        <v>172</v>
      </c>
      <c r="D2147" s="636">
        <v>4948.4399999999996</v>
      </c>
      <c r="E2147" s="603"/>
    </row>
    <row r="2148" spans="1:5" x14ac:dyDescent="0.3">
      <c r="A2148" s="635" t="s">
        <v>1949</v>
      </c>
      <c r="B2148" s="635">
        <v>28.16</v>
      </c>
      <c r="C2148" s="636">
        <v>4740</v>
      </c>
      <c r="D2148" s="636">
        <v>133478.39999999999</v>
      </c>
      <c r="E2148" s="603"/>
    </row>
    <row r="2149" spans="1:5" x14ac:dyDescent="0.3">
      <c r="A2149" s="635" t="s">
        <v>1948</v>
      </c>
      <c r="B2149" s="635">
        <v>28.9</v>
      </c>
      <c r="C2149" s="636">
        <v>468</v>
      </c>
      <c r="D2149" s="636">
        <v>13525.2</v>
      </c>
      <c r="E2149" s="603"/>
    </row>
    <row r="2150" spans="1:5" x14ac:dyDescent="0.3">
      <c r="A2150" s="635" t="s">
        <v>1947</v>
      </c>
      <c r="B2150" s="635">
        <v>29</v>
      </c>
      <c r="C2150" s="636">
        <v>1549</v>
      </c>
      <c r="D2150" s="636">
        <v>44921</v>
      </c>
      <c r="E2150" s="603"/>
    </row>
    <row r="2151" spans="1:5" x14ac:dyDescent="0.3">
      <c r="A2151" s="635" t="s">
        <v>1946</v>
      </c>
      <c r="B2151" s="635">
        <v>28.3</v>
      </c>
      <c r="C2151" s="636">
        <v>1460</v>
      </c>
      <c r="D2151" s="636">
        <v>41318</v>
      </c>
      <c r="E2151" s="603"/>
    </row>
    <row r="2152" spans="1:5" x14ac:dyDescent="0.3">
      <c r="A2152" s="635" t="s">
        <v>1945</v>
      </c>
      <c r="B2152" s="635">
        <v>28.15</v>
      </c>
      <c r="C2152" s="636">
        <v>11880</v>
      </c>
      <c r="D2152" s="636">
        <v>334422</v>
      </c>
      <c r="E2152" s="603"/>
    </row>
    <row r="2153" spans="1:5" x14ac:dyDescent="0.3">
      <c r="A2153" s="635" t="s">
        <v>1944</v>
      </c>
      <c r="B2153" s="635">
        <v>30.43</v>
      </c>
      <c r="C2153" s="636">
        <v>14062</v>
      </c>
      <c r="D2153" s="636">
        <v>427906.66</v>
      </c>
      <c r="E2153" s="603"/>
    </row>
    <row r="2154" spans="1:5" x14ac:dyDescent="0.3">
      <c r="A2154" s="635" t="s">
        <v>1943</v>
      </c>
      <c r="B2154" s="635">
        <v>33.47</v>
      </c>
      <c r="C2154" s="636">
        <v>12743</v>
      </c>
      <c r="D2154" s="636">
        <v>426508.21</v>
      </c>
      <c r="E2154" s="603"/>
    </row>
    <row r="2155" spans="1:5" x14ac:dyDescent="0.3">
      <c r="A2155" s="635" t="s">
        <v>1942</v>
      </c>
      <c r="B2155" s="635">
        <v>36.81</v>
      </c>
      <c r="C2155" s="636">
        <v>2313</v>
      </c>
      <c r="D2155" s="636">
        <v>85141.53</v>
      </c>
      <c r="E2155" s="603"/>
    </row>
    <row r="2156" spans="1:5" x14ac:dyDescent="0.3">
      <c r="A2156" s="635" t="s">
        <v>1941</v>
      </c>
      <c r="B2156" s="635">
        <v>39.61</v>
      </c>
      <c r="C2156" s="636">
        <v>67901</v>
      </c>
      <c r="D2156" s="636">
        <v>2689558.61</v>
      </c>
      <c r="E2156" s="603"/>
    </row>
    <row r="2157" spans="1:5" x14ac:dyDescent="0.3">
      <c r="A2157" s="635" t="s">
        <v>1940</v>
      </c>
      <c r="B2157" s="635">
        <v>38.61</v>
      </c>
      <c r="C2157" s="636">
        <v>46240</v>
      </c>
      <c r="D2157" s="636">
        <v>1785326.4</v>
      </c>
      <c r="E2157" s="603"/>
    </row>
    <row r="2158" spans="1:5" x14ac:dyDescent="0.3">
      <c r="A2158" s="635" t="s">
        <v>1939</v>
      </c>
      <c r="B2158" s="635">
        <v>38.28</v>
      </c>
      <c r="C2158" s="636">
        <v>16227</v>
      </c>
      <c r="D2158" s="636">
        <v>621169.56000000006</v>
      </c>
      <c r="E2158" s="603"/>
    </row>
    <row r="2159" spans="1:5" x14ac:dyDescent="0.3">
      <c r="A2159" s="635" t="s">
        <v>1938</v>
      </c>
      <c r="B2159" s="635">
        <v>36.79</v>
      </c>
      <c r="C2159" s="636">
        <v>16519</v>
      </c>
      <c r="D2159" s="636">
        <v>607734.01</v>
      </c>
      <c r="E2159" s="603"/>
    </row>
    <row r="2160" spans="1:5" x14ac:dyDescent="0.3">
      <c r="A2160" s="635" t="s">
        <v>1937</v>
      </c>
      <c r="B2160" s="635">
        <v>36.979999999999997</v>
      </c>
      <c r="C2160" s="636">
        <v>6477</v>
      </c>
      <c r="D2160" s="636">
        <v>239519.46</v>
      </c>
      <c r="E2160" s="603"/>
    </row>
    <row r="2161" spans="1:5" x14ac:dyDescent="0.3">
      <c r="A2161" s="635" t="s">
        <v>1936</v>
      </c>
      <c r="B2161" s="635">
        <v>37.5</v>
      </c>
      <c r="C2161" s="636">
        <v>8205</v>
      </c>
      <c r="D2161" s="636">
        <v>307687.5</v>
      </c>
      <c r="E2161" s="603"/>
    </row>
    <row r="2162" spans="1:5" x14ac:dyDescent="0.3">
      <c r="A2162" s="635" t="s">
        <v>1935</v>
      </c>
      <c r="B2162" s="635">
        <v>36.42</v>
      </c>
      <c r="C2162" s="636">
        <v>7500</v>
      </c>
      <c r="D2162" s="636">
        <v>273150</v>
      </c>
      <c r="E2162" s="603"/>
    </row>
    <row r="2163" spans="1:5" x14ac:dyDescent="0.3">
      <c r="A2163" s="635" t="s">
        <v>1934</v>
      </c>
      <c r="B2163" s="635">
        <v>35.24</v>
      </c>
      <c r="C2163" s="636">
        <v>1600</v>
      </c>
      <c r="D2163" s="636">
        <v>56384</v>
      </c>
      <c r="E2163" s="603"/>
    </row>
    <row r="2164" spans="1:5" x14ac:dyDescent="0.3">
      <c r="A2164" s="635" t="s">
        <v>1933</v>
      </c>
      <c r="B2164" s="635">
        <v>36.479999999999997</v>
      </c>
      <c r="C2164" s="636">
        <v>758</v>
      </c>
      <c r="D2164" s="636">
        <v>27651.84</v>
      </c>
      <c r="E2164" s="603"/>
    </row>
    <row r="2165" spans="1:5" x14ac:dyDescent="0.3">
      <c r="A2165" s="635" t="s">
        <v>1932</v>
      </c>
      <c r="B2165" s="635">
        <v>36.479999999999997</v>
      </c>
      <c r="C2165" s="636">
        <v>50</v>
      </c>
      <c r="D2165" s="636">
        <v>1824</v>
      </c>
      <c r="E2165" s="603"/>
    </row>
    <row r="2166" spans="1:5" x14ac:dyDescent="0.3">
      <c r="A2166" s="635" t="s">
        <v>1931</v>
      </c>
      <c r="B2166" s="635">
        <v>36.479999999999997</v>
      </c>
      <c r="C2166" s="636">
        <v>75</v>
      </c>
      <c r="D2166" s="636">
        <v>2736</v>
      </c>
      <c r="E2166" s="603"/>
    </row>
    <row r="2167" spans="1:5" x14ac:dyDescent="0.3">
      <c r="A2167" s="635" t="s">
        <v>579</v>
      </c>
      <c r="B2167" s="635">
        <v>35.97</v>
      </c>
      <c r="C2167" s="636">
        <v>1326</v>
      </c>
      <c r="D2167" s="636">
        <v>47696.22</v>
      </c>
      <c r="E2167" s="603"/>
    </row>
    <row r="2168" spans="1:5" x14ac:dyDescent="0.3">
      <c r="A2168" s="635" t="s">
        <v>1930</v>
      </c>
      <c r="B2168" s="635">
        <v>34.46</v>
      </c>
      <c r="C2168" s="636">
        <v>3184</v>
      </c>
      <c r="D2168" s="636">
        <v>109720.64</v>
      </c>
      <c r="E2168" s="603"/>
    </row>
    <row r="2169" spans="1:5" x14ac:dyDescent="0.3">
      <c r="A2169" s="635" t="s">
        <v>1929</v>
      </c>
      <c r="B2169" s="635">
        <v>34.21</v>
      </c>
      <c r="C2169" s="636">
        <v>11232</v>
      </c>
      <c r="D2169" s="636">
        <v>384246.72</v>
      </c>
      <c r="E2169" s="603"/>
    </row>
    <row r="2170" spans="1:5" x14ac:dyDescent="0.3">
      <c r="A2170" s="635" t="s">
        <v>1928</v>
      </c>
      <c r="B2170" s="635">
        <v>34.07</v>
      </c>
      <c r="C2170" s="636">
        <v>3315</v>
      </c>
      <c r="D2170" s="636">
        <v>112942.05</v>
      </c>
      <c r="E2170" s="603"/>
    </row>
    <row r="2171" spans="1:5" x14ac:dyDescent="0.3">
      <c r="A2171" s="635" t="s">
        <v>1927</v>
      </c>
      <c r="B2171" s="635">
        <v>33.61</v>
      </c>
      <c r="C2171" s="636">
        <v>2548</v>
      </c>
      <c r="D2171" s="636">
        <v>85638.28</v>
      </c>
      <c r="E2171" s="603"/>
    </row>
    <row r="2172" spans="1:5" x14ac:dyDescent="0.3">
      <c r="A2172" s="635" t="s">
        <v>1926</v>
      </c>
      <c r="B2172" s="635">
        <v>33.340000000000003</v>
      </c>
      <c r="C2172" s="636">
        <v>685</v>
      </c>
      <c r="D2172" s="636">
        <v>22837.9</v>
      </c>
      <c r="E2172" s="603"/>
    </row>
    <row r="2173" spans="1:5" x14ac:dyDescent="0.3">
      <c r="A2173" s="635" t="s">
        <v>1925</v>
      </c>
      <c r="B2173" s="635">
        <v>34.28</v>
      </c>
      <c r="C2173" s="636">
        <v>4673</v>
      </c>
      <c r="D2173" s="636">
        <v>160190.44</v>
      </c>
      <c r="E2173" s="603"/>
    </row>
    <row r="2174" spans="1:5" x14ac:dyDescent="0.3">
      <c r="A2174" s="635" t="s">
        <v>1924</v>
      </c>
      <c r="B2174" s="635">
        <v>34.159999999999997</v>
      </c>
      <c r="C2174" s="636">
        <v>1180</v>
      </c>
      <c r="D2174" s="636">
        <v>40308.800000000003</v>
      </c>
      <c r="E2174" s="603"/>
    </row>
    <row r="2175" spans="1:5" x14ac:dyDescent="0.3">
      <c r="A2175" s="635" t="s">
        <v>1923</v>
      </c>
      <c r="B2175" s="635">
        <v>35.17</v>
      </c>
      <c r="C2175" s="636">
        <v>15619</v>
      </c>
      <c r="D2175" s="636">
        <v>549320.23</v>
      </c>
      <c r="E2175" s="603"/>
    </row>
    <row r="2176" spans="1:5" x14ac:dyDescent="0.3">
      <c r="A2176" s="635" t="s">
        <v>1922</v>
      </c>
      <c r="B2176" s="635">
        <v>35.83</v>
      </c>
      <c r="C2176" s="636">
        <v>9721</v>
      </c>
      <c r="D2176" s="636">
        <v>348303.43</v>
      </c>
      <c r="E2176" s="603"/>
    </row>
    <row r="2177" spans="1:5" x14ac:dyDescent="0.3">
      <c r="A2177" s="635" t="s">
        <v>1921</v>
      </c>
      <c r="B2177" s="635">
        <v>37.369999999999997</v>
      </c>
      <c r="C2177" s="636">
        <v>35866</v>
      </c>
      <c r="D2177" s="636">
        <v>1340312.42</v>
      </c>
      <c r="E2177" s="603"/>
    </row>
    <row r="2178" spans="1:5" x14ac:dyDescent="0.3">
      <c r="A2178" s="635" t="s">
        <v>1920</v>
      </c>
      <c r="B2178" s="635">
        <v>37.01</v>
      </c>
      <c r="C2178" s="636">
        <v>11545</v>
      </c>
      <c r="D2178" s="636">
        <v>427280.45</v>
      </c>
      <c r="E2178" s="603"/>
    </row>
    <row r="2179" spans="1:5" x14ac:dyDescent="0.3">
      <c r="A2179" s="635" t="s">
        <v>1919</v>
      </c>
      <c r="B2179" s="635">
        <v>36.18</v>
      </c>
      <c r="C2179" s="636">
        <v>3305</v>
      </c>
      <c r="D2179" s="636">
        <v>119574.9</v>
      </c>
      <c r="E2179" s="603"/>
    </row>
    <row r="2180" spans="1:5" x14ac:dyDescent="0.3">
      <c r="A2180" s="635" t="s">
        <v>1918</v>
      </c>
      <c r="B2180" s="635">
        <v>36.99</v>
      </c>
      <c r="C2180" s="636">
        <v>4480</v>
      </c>
      <c r="D2180" s="636">
        <v>165715.20000000001</v>
      </c>
      <c r="E2180" s="603"/>
    </row>
    <row r="2181" spans="1:5" x14ac:dyDescent="0.3">
      <c r="A2181" s="635" t="s">
        <v>1917</v>
      </c>
      <c r="B2181" s="635">
        <v>38.6</v>
      </c>
      <c r="C2181" s="636">
        <v>15324</v>
      </c>
      <c r="D2181" s="636">
        <v>591506.4</v>
      </c>
      <c r="E2181" s="603"/>
    </row>
    <row r="2182" spans="1:5" x14ac:dyDescent="0.3">
      <c r="A2182" s="635" t="s">
        <v>1916</v>
      </c>
      <c r="B2182" s="635">
        <v>39.15</v>
      </c>
      <c r="C2182" s="636">
        <v>19463</v>
      </c>
      <c r="D2182" s="636">
        <v>761976.45</v>
      </c>
      <c r="E2182" s="603"/>
    </row>
    <row r="2183" spans="1:5" x14ac:dyDescent="0.3">
      <c r="A2183" s="635" t="s">
        <v>1915</v>
      </c>
      <c r="B2183" s="635">
        <v>38.82</v>
      </c>
      <c r="C2183" s="636">
        <v>9475</v>
      </c>
      <c r="D2183" s="636">
        <v>367819.5</v>
      </c>
      <c r="E2183" s="603"/>
    </row>
    <row r="2184" spans="1:5" x14ac:dyDescent="0.3">
      <c r="A2184" s="635" t="s">
        <v>580</v>
      </c>
      <c r="B2184" s="635">
        <v>37.840000000000003</v>
      </c>
      <c r="C2184" s="636">
        <v>11607</v>
      </c>
      <c r="D2184" s="636">
        <v>439208.88000000012</v>
      </c>
      <c r="E2184" s="603"/>
    </row>
    <row r="2185" spans="1:5" x14ac:dyDescent="0.3">
      <c r="A2185" s="635" t="s">
        <v>1914</v>
      </c>
      <c r="B2185" s="635">
        <v>38.14</v>
      </c>
      <c r="C2185" s="636">
        <v>17841</v>
      </c>
      <c r="D2185" s="636">
        <v>680455.74</v>
      </c>
      <c r="E2185" s="603"/>
    </row>
    <row r="2186" spans="1:5" x14ac:dyDescent="0.3">
      <c r="A2186" s="635" t="s">
        <v>1913</v>
      </c>
      <c r="B2186" s="635">
        <v>40.729999999999997</v>
      </c>
      <c r="C2186" s="636">
        <v>26320</v>
      </c>
      <c r="D2186" s="636">
        <v>1072013.6000000001</v>
      </c>
      <c r="E2186" s="603"/>
    </row>
    <row r="2187" spans="1:5" x14ac:dyDescent="0.3">
      <c r="A2187" s="635" t="s">
        <v>1912</v>
      </c>
      <c r="B2187" s="635">
        <v>44.12</v>
      </c>
      <c r="C2187" s="636">
        <v>42275</v>
      </c>
      <c r="D2187" s="636">
        <v>1865173</v>
      </c>
      <c r="E2187" s="603"/>
    </row>
    <row r="2188" spans="1:5" x14ac:dyDescent="0.3">
      <c r="A2188" s="635" t="s">
        <v>1911</v>
      </c>
      <c r="B2188" s="635">
        <v>47.01</v>
      </c>
      <c r="C2188" s="636">
        <v>46368</v>
      </c>
      <c r="D2188" s="636">
        <v>2179759.6800000002</v>
      </c>
      <c r="E2188" s="603"/>
    </row>
    <row r="2189" spans="1:5" x14ac:dyDescent="0.3">
      <c r="A2189" s="635" t="s">
        <v>1910</v>
      </c>
      <c r="B2189" s="635">
        <v>49.85</v>
      </c>
      <c r="C2189" s="636">
        <v>63774</v>
      </c>
      <c r="D2189" s="636">
        <v>3179133.9</v>
      </c>
      <c r="E2189" s="603"/>
    </row>
    <row r="2190" spans="1:5" x14ac:dyDescent="0.3">
      <c r="A2190" s="635" t="s">
        <v>1909</v>
      </c>
      <c r="B2190" s="635">
        <v>53.23</v>
      </c>
      <c r="C2190" s="636">
        <v>52581</v>
      </c>
      <c r="D2190" s="636">
        <v>2798886.63</v>
      </c>
      <c r="E2190" s="603"/>
    </row>
    <row r="2191" spans="1:5" x14ac:dyDescent="0.3">
      <c r="A2191" s="635" t="s">
        <v>1908</v>
      </c>
      <c r="B2191" s="635">
        <v>50.94</v>
      </c>
      <c r="C2191" s="636">
        <v>31434</v>
      </c>
      <c r="D2191" s="636">
        <v>1601247.96</v>
      </c>
      <c r="E2191" s="603"/>
    </row>
    <row r="2192" spans="1:5" x14ac:dyDescent="0.3">
      <c r="A2192" s="635" t="s">
        <v>1907</v>
      </c>
      <c r="B2192" s="635">
        <v>48.85</v>
      </c>
      <c r="C2192" s="636">
        <v>17979</v>
      </c>
      <c r="D2192" s="636">
        <v>878274.15</v>
      </c>
      <c r="E2192" s="603"/>
    </row>
    <row r="2193" spans="1:5" x14ac:dyDescent="0.3">
      <c r="A2193" s="635" t="s">
        <v>1906</v>
      </c>
      <c r="B2193" s="635">
        <v>48.89</v>
      </c>
      <c r="C2193" s="636">
        <v>15835</v>
      </c>
      <c r="D2193" s="636">
        <v>774173.15</v>
      </c>
      <c r="E2193" s="603"/>
    </row>
    <row r="2194" spans="1:5" x14ac:dyDescent="0.3">
      <c r="A2194" s="635" t="s">
        <v>1905</v>
      </c>
      <c r="B2194" s="635">
        <v>48.65</v>
      </c>
      <c r="C2194" s="636">
        <v>15798</v>
      </c>
      <c r="D2194" s="636">
        <v>768572.7</v>
      </c>
      <c r="E2194" s="603"/>
    </row>
    <row r="2195" spans="1:5" x14ac:dyDescent="0.3">
      <c r="A2195" s="635" t="s">
        <v>1904</v>
      </c>
      <c r="B2195" s="635">
        <v>47.54</v>
      </c>
      <c r="C2195" s="636">
        <v>17601</v>
      </c>
      <c r="D2195" s="636">
        <v>836751.54</v>
      </c>
      <c r="E2195" s="603"/>
    </row>
    <row r="2196" spans="1:5" x14ac:dyDescent="0.3">
      <c r="A2196" s="635" t="s">
        <v>1903</v>
      </c>
      <c r="B2196" s="635">
        <v>46.53</v>
      </c>
      <c r="C2196" s="636">
        <v>6730</v>
      </c>
      <c r="D2196" s="636">
        <v>313146.90000000002</v>
      </c>
      <c r="E2196" s="603"/>
    </row>
    <row r="2197" spans="1:5" x14ac:dyDescent="0.3">
      <c r="A2197" s="635" t="s">
        <v>1902</v>
      </c>
      <c r="B2197" s="635">
        <v>48.16</v>
      </c>
      <c r="C2197" s="636">
        <v>7896</v>
      </c>
      <c r="D2197" s="636">
        <v>380271.35999999999</v>
      </c>
      <c r="E2197" s="603"/>
    </row>
    <row r="2198" spans="1:5" x14ac:dyDescent="0.3">
      <c r="A2198" s="635" t="s">
        <v>1901</v>
      </c>
      <c r="B2198" s="635">
        <v>46.93</v>
      </c>
      <c r="C2198" s="636">
        <v>3520</v>
      </c>
      <c r="D2198" s="636">
        <v>165193.60000000001</v>
      </c>
      <c r="E2198" s="603"/>
    </row>
    <row r="2199" spans="1:5" x14ac:dyDescent="0.3">
      <c r="A2199" s="635" t="s">
        <v>1900</v>
      </c>
      <c r="B2199" s="635">
        <v>46.41</v>
      </c>
      <c r="C2199" s="636">
        <v>2899</v>
      </c>
      <c r="D2199" s="636">
        <v>134542.59</v>
      </c>
      <c r="E2199" s="603"/>
    </row>
    <row r="2200" spans="1:5" x14ac:dyDescent="0.3">
      <c r="A2200" s="635" t="s">
        <v>1899</v>
      </c>
      <c r="B2200" s="635">
        <v>50.29</v>
      </c>
      <c r="C2200" s="636">
        <v>11327</v>
      </c>
      <c r="D2200" s="636">
        <v>569634.82999999996</v>
      </c>
      <c r="E2200" s="603"/>
    </row>
    <row r="2201" spans="1:5" x14ac:dyDescent="0.3">
      <c r="A2201" s="635" t="s">
        <v>1898</v>
      </c>
      <c r="B2201" s="635">
        <v>53.41</v>
      </c>
      <c r="C2201" s="636">
        <v>36519</v>
      </c>
      <c r="D2201" s="636">
        <v>1950479.79</v>
      </c>
      <c r="E2201" s="603"/>
    </row>
    <row r="2202" spans="1:5" x14ac:dyDescent="0.3">
      <c r="A2202" s="635" t="s">
        <v>1897</v>
      </c>
      <c r="B2202" s="635">
        <v>53.07</v>
      </c>
      <c r="C2202" s="636">
        <v>16018</v>
      </c>
      <c r="D2202" s="636">
        <v>850075.26</v>
      </c>
      <c r="E2202" s="603"/>
    </row>
    <row r="2203" spans="1:5" x14ac:dyDescent="0.3">
      <c r="A2203" s="635" t="s">
        <v>1896</v>
      </c>
      <c r="B2203" s="635">
        <v>51.24</v>
      </c>
      <c r="C2203" s="636">
        <v>5044</v>
      </c>
      <c r="D2203" s="636">
        <v>258454.56</v>
      </c>
      <c r="E2203" s="603"/>
    </row>
    <row r="2204" spans="1:5" x14ac:dyDescent="0.3">
      <c r="A2204" s="635" t="s">
        <v>1895</v>
      </c>
      <c r="B2204" s="635">
        <v>49.7</v>
      </c>
      <c r="C2204" s="636">
        <v>3103</v>
      </c>
      <c r="D2204" s="636">
        <v>154219.1</v>
      </c>
      <c r="E2204" s="603"/>
    </row>
    <row r="2205" spans="1:5" x14ac:dyDescent="0.3">
      <c r="A2205" s="635" t="s">
        <v>581</v>
      </c>
      <c r="B2205" s="635">
        <v>52.89</v>
      </c>
      <c r="C2205" s="636">
        <v>29980</v>
      </c>
      <c r="D2205" s="636">
        <v>1585642.2</v>
      </c>
      <c r="E2205" s="603"/>
    </row>
    <row r="2206" spans="1:5" x14ac:dyDescent="0.3">
      <c r="A2206" s="635" t="s">
        <v>1894</v>
      </c>
      <c r="B2206" s="635">
        <v>53.05</v>
      </c>
      <c r="C2206" s="636">
        <v>16776</v>
      </c>
      <c r="D2206" s="636">
        <v>889966.79999999993</v>
      </c>
      <c r="E2206" s="603"/>
    </row>
    <row r="2207" spans="1:5" x14ac:dyDescent="0.3">
      <c r="A2207" s="635" t="s">
        <v>1893</v>
      </c>
      <c r="B2207" s="635">
        <v>51.87</v>
      </c>
      <c r="C2207" s="636">
        <v>17649</v>
      </c>
      <c r="D2207" s="636">
        <v>915453.63</v>
      </c>
      <c r="E2207" s="603"/>
    </row>
    <row r="2208" spans="1:5" x14ac:dyDescent="0.3">
      <c r="A2208" s="635" t="s">
        <v>1892</v>
      </c>
      <c r="B2208" s="635">
        <v>52.08</v>
      </c>
      <c r="C2208" s="636">
        <v>4881</v>
      </c>
      <c r="D2208" s="636">
        <v>254202.48</v>
      </c>
      <c r="E2208" s="603"/>
    </row>
    <row r="2209" spans="1:5" x14ac:dyDescent="0.3">
      <c r="A2209" s="635" t="s">
        <v>1891</v>
      </c>
      <c r="B2209" s="635">
        <v>51.42</v>
      </c>
      <c r="C2209" s="636">
        <v>5632</v>
      </c>
      <c r="D2209" s="636">
        <v>289597.44</v>
      </c>
      <c r="E2209" s="603"/>
    </row>
    <row r="2210" spans="1:5" x14ac:dyDescent="0.3">
      <c r="A2210" s="635" t="s">
        <v>1890</v>
      </c>
      <c r="B2210" s="635">
        <v>52.59</v>
      </c>
      <c r="C2210" s="636">
        <v>10406</v>
      </c>
      <c r="D2210" s="636">
        <v>547251.54</v>
      </c>
      <c r="E2210" s="603"/>
    </row>
    <row r="2211" spans="1:5" x14ac:dyDescent="0.3">
      <c r="A2211" s="635" t="s">
        <v>1889</v>
      </c>
      <c r="B2211" s="635">
        <v>54.83</v>
      </c>
      <c r="C2211" s="636">
        <v>49863</v>
      </c>
      <c r="D2211" s="636">
        <v>2733988.29</v>
      </c>
      <c r="E2211" s="603"/>
    </row>
    <row r="2212" spans="1:5" x14ac:dyDescent="0.3">
      <c r="A2212" s="635" t="s">
        <v>1888</v>
      </c>
      <c r="B2212" s="635">
        <v>55.2</v>
      </c>
      <c r="C2212" s="636">
        <v>23582</v>
      </c>
      <c r="D2212" s="636">
        <v>1301726.3999999999</v>
      </c>
      <c r="E2212" s="603"/>
    </row>
    <row r="2213" spans="1:5" x14ac:dyDescent="0.3">
      <c r="A2213" s="635" t="s">
        <v>1887</v>
      </c>
      <c r="B2213" s="635">
        <v>56.98</v>
      </c>
      <c r="C2213" s="636">
        <v>47766</v>
      </c>
      <c r="D2213" s="636">
        <v>2721706.68</v>
      </c>
      <c r="E2213" s="603"/>
    </row>
    <row r="2214" spans="1:5" x14ac:dyDescent="0.3">
      <c r="A2214" s="635" t="s">
        <v>1886</v>
      </c>
      <c r="B2214" s="635">
        <v>56.42</v>
      </c>
      <c r="C2214" s="636">
        <v>17576</v>
      </c>
      <c r="D2214" s="636">
        <v>991637.92</v>
      </c>
      <c r="E2214" s="603"/>
    </row>
    <row r="2215" spans="1:5" x14ac:dyDescent="0.3">
      <c r="A2215" s="635" t="s">
        <v>1885</v>
      </c>
      <c r="B2215" s="635">
        <v>57.47</v>
      </c>
      <c r="C2215" s="636">
        <v>66172</v>
      </c>
      <c r="D2215" s="636">
        <v>3802904.84</v>
      </c>
      <c r="E2215" s="603"/>
    </row>
    <row r="2216" spans="1:5" x14ac:dyDescent="0.3">
      <c r="A2216" s="635" t="s">
        <v>1884</v>
      </c>
      <c r="B2216" s="635">
        <v>57.56</v>
      </c>
      <c r="C2216" s="636">
        <v>17222</v>
      </c>
      <c r="D2216" s="636">
        <v>991298.32000000007</v>
      </c>
      <c r="E2216" s="603"/>
    </row>
    <row r="2217" spans="1:5" x14ac:dyDescent="0.3">
      <c r="A2217" s="635" t="s">
        <v>1883</v>
      </c>
      <c r="B2217" s="635">
        <v>54.67</v>
      </c>
      <c r="C2217" s="636">
        <v>17901</v>
      </c>
      <c r="D2217" s="636">
        <v>978647.67</v>
      </c>
      <c r="E2217" s="603"/>
    </row>
    <row r="2218" spans="1:5" x14ac:dyDescent="0.3">
      <c r="A2218" s="635" t="s">
        <v>1882</v>
      </c>
      <c r="B2218" s="635">
        <v>52.29</v>
      </c>
      <c r="C2218" s="636">
        <v>15655</v>
      </c>
      <c r="D2218" s="636">
        <v>818599.95</v>
      </c>
      <c r="E2218" s="603"/>
    </row>
    <row r="2219" spans="1:5" x14ac:dyDescent="0.3">
      <c r="A2219" s="635" t="s">
        <v>1881</v>
      </c>
      <c r="B2219" s="635">
        <v>50.98</v>
      </c>
      <c r="C2219" s="636">
        <v>14426</v>
      </c>
      <c r="D2219" s="636">
        <v>735437.48</v>
      </c>
      <c r="E2219" s="603"/>
    </row>
    <row r="2220" spans="1:5" x14ac:dyDescent="0.3">
      <c r="A2220" s="635" t="s">
        <v>1880</v>
      </c>
      <c r="B2220" s="635">
        <v>50.41</v>
      </c>
      <c r="C2220" s="636">
        <v>13091</v>
      </c>
      <c r="D2220" s="636">
        <v>659917.30999999994</v>
      </c>
      <c r="E2220" s="603"/>
    </row>
    <row r="2221" spans="1:5" x14ac:dyDescent="0.3">
      <c r="A2221" s="635" t="s">
        <v>1879</v>
      </c>
      <c r="B2221" s="635">
        <v>48.35</v>
      </c>
      <c r="C2221" s="636">
        <v>14046</v>
      </c>
      <c r="D2221" s="636">
        <v>679124.1</v>
      </c>
      <c r="E2221" s="603"/>
    </row>
    <row r="2222" spans="1:5" x14ac:dyDescent="0.3">
      <c r="A2222" s="635" t="s">
        <v>1878</v>
      </c>
      <c r="B2222" s="635">
        <v>49.9</v>
      </c>
      <c r="C2222" s="636">
        <v>11916</v>
      </c>
      <c r="D2222" s="636">
        <v>594608.4</v>
      </c>
      <c r="E2222" s="603"/>
    </row>
    <row r="2223" spans="1:5" x14ac:dyDescent="0.3">
      <c r="A2223" s="635" t="s">
        <v>1877</v>
      </c>
      <c r="B2223" s="635">
        <v>48.87</v>
      </c>
      <c r="C2223" s="636">
        <v>7869</v>
      </c>
      <c r="D2223" s="636">
        <v>384558.03</v>
      </c>
      <c r="E2223" s="603"/>
    </row>
    <row r="2224" spans="1:5" x14ac:dyDescent="0.3">
      <c r="A2224" s="635" t="s">
        <v>1876</v>
      </c>
      <c r="B2224" s="635">
        <v>48.24</v>
      </c>
      <c r="C2224" s="636">
        <v>4371</v>
      </c>
      <c r="D2224" s="636">
        <v>210857.04</v>
      </c>
      <c r="E2224" s="603"/>
    </row>
    <row r="2225" spans="1:5" x14ac:dyDescent="0.3">
      <c r="A2225" s="635" t="s">
        <v>1875</v>
      </c>
      <c r="B2225" s="635">
        <v>47.54</v>
      </c>
      <c r="C2225" s="636">
        <v>6269</v>
      </c>
      <c r="D2225" s="636">
        <v>298028.26</v>
      </c>
      <c r="E2225" s="603"/>
    </row>
    <row r="2226" spans="1:5" x14ac:dyDescent="0.3">
      <c r="A2226" s="635" t="s">
        <v>1874</v>
      </c>
      <c r="B2226" s="635">
        <v>48.44</v>
      </c>
      <c r="C2226" s="636">
        <v>7586</v>
      </c>
      <c r="D2226" s="636">
        <v>367465.84</v>
      </c>
      <c r="E2226" s="603"/>
    </row>
    <row r="2227" spans="1:5" x14ac:dyDescent="0.3">
      <c r="A2227" s="635" t="s">
        <v>1873</v>
      </c>
      <c r="B2227" s="635">
        <v>49.9</v>
      </c>
      <c r="C2227" s="636">
        <v>4485</v>
      </c>
      <c r="D2227" s="636">
        <v>223801.5</v>
      </c>
      <c r="E2227" s="603"/>
    </row>
    <row r="2228" spans="1:5" x14ac:dyDescent="0.3">
      <c r="A2228" s="635" t="s">
        <v>1872</v>
      </c>
      <c r="B2228" s="635">
        <v>48.51</v>
      </c>
      <c r="C2228" s="636">
        <v>1383</v>
      </c>
      <c r="D2228" s="636">
        <v>67089.33</v>
      </c>
      <c r="E2228" s="603"/>
    </row>
    <row r="2229" spans="1:5" x14ac:dyDescent="0.3">
      <c r="A2229" s="635" t="s">
        <v>1871</v>
      </c>
      <c r="B2229" s="635">
        <v>50.09</v>
      </c>
      <c r="C2229" s="636">
        <v>10940</v>
      </c>
      <c r="D2229" s="636">
        <v>547984.60000000009</v>
      </c>
      <c r="E2229" s="603"/>
    </row>
    <row r="2230" spans="1:5" x14ac:dyDescent="0.3">
      <c r="A2230" s="635" t="s">
        <v>1870</v>
      </c>
      <c r="B2230" s="635">
        <v>51.93</v>
      </c>
      <c r="C2230" s="636">
        <v>11797</v>
      </c>
      <c r="D2230" s="636">
        <v>612618.21</v>
      </c>
      <c r="E2230" s="603"/>
    </row>
    <row r="2231" spans="1:5" x14ac:dyDescent="0.3">
      <c r="A2231" s="635" t="s">
        <v>1869</v>
      </c>
      <c r="B2231" s="635">
        <v>50.22</v>
      </c>
      <c r="C2231" s="636">
        <v>2180</v>
      </c>
      <c r="D2231" s="636">
        <v>109479.6</v>
      </c>
      <c r="E2231" s="603"/>
    </row>
    <row r="2232" spans="1:5" x14ac:dyDescent="0.3">
      <c r="A2232" s="635" t="s">
        <v>1868</v>
      </c>
      <c r="B2232" s="635">
        <v>51.09</v>
      </c>
      <c r="C2232" s="636">
        <v>13410</v>
      </c>
      <c r="D2232" s="636">
        <v>685116.9</v>
      </c>
      <c r="E2232" s="603"/>
    </row>
    <row r="2233" spans="1:5" x14ac:dyDescent="0.3">
      <c r="A2233" s="635" t="s">
        <v>1867</v>
      </c>
      <c r="B2233" s="635">
        <v>50.95</v>
      </c>
      <c r="C2233" s="636">
        <v>3555</v>
      </c>
      <c r="D2233" s="636">
        <v>181127.25</v>
      </c>
      <c r="E2233" s="603"/>
    </row>
    <row r="2234" spans="1:5" x14ac:dyDescent="0.3">
      <c r="A2234" s="635" t="s">
        <v>1866</v>
      </c>
      <c r="B2234" s="635">
        <v>50.2</v>
      </c>
      <c r="C2234" s="636">
        <v>6640</v>
      </c>
      <c r="D2234" s="636">
        <v>333328</v>
      </c>
      <c r="E2234" s="603"/>
    </row>
    <row r="2235" spans="1:5" x14ac:dyDescent="0.3">
      <c r="A2235" s="635" t="s">
        <v>1865</v>
      </c>
      <c r="B2235" s="635">
        <v>49.44</v>
      </c>
      <c r="C2235" s="636">
        <v>8523</v>
      </c>
      <c r="D2235" s="636">
        <v>421377.12</v>
      </c>
      <c r="E2235" s="603"/>
    </row>
    <row r="2236" spans="1:5" x14ac:dyDescent="0.3">
      <c r="A2236" s="635" t="s">
        <v>1864</v>
      </c>
      <c r="B2236" s="635">
        <v>48.71</v>
      </c>
      <c r="C2236" s="636">
        <v>6636</v>
      </c>
      <c r="D2236" s="636">
        <v>323239.56</v>
      </c>
      <c r="E2236" s="603"/>
    </row>
    <row r="2237" spans="1:5" x14ac:dyDescent="0.3">
      <c r="A2237" s="635" t="s">
        <v>1863</v>
      </c>
      <c r="B2237" s="635">
        <v>50.78</v>
      </c>
      <c r="C2237" s="636">
        <v>14007</v>
      </c>
      <c r="D2237" s="636">
        <v>711275.46</v>
      </c>
      <c r="E2237" s="603"/>
    </row>
    <row r="2238" spans="1:5" x14ac:dyDescent="0.3">
      <c r="A2238" s="635" t="s">
        <v>1862</v>
      </c>
      <c r="B2238" s="635">
        <v>50.13</v>
      </c>
      <c r="C2238" s="636">
        <v>6188</v>
      </c>
      <c r="D2238" s="636">
        <v>310204.44</v>
      </c>
      <c r="E2238" s="603"/>
    </row>
    <row r="2239" spans="1:5" x14ac:dyDescent="0.3">
      <c r="A2239" s="635" t="s">
        <v>1861</v>
      </c>
      <c r="B2239" s="635">
        <v>49.34</v>
      </c>
      <c r="C2239" s="636">
        <v>7944</v>
      </c>
      <c r="D2239" s="636">
        <v>391956.96</v>
      </c>
      <c r="E2239" s="603"/>
    </row>
    <row r="2240" spans="1:5" x14ac:dyDescent="0.3">
      <c r="A2240" s="635" t="s">
        <v>1860</v>
      </c>
      <c r="B2240" s="635">
        <v>49.08</v>
      </c>
      <c r="C2240" s="636">
        <v>6570</v>
      </c>
      <c r="D2240" s="636">
        <v>322455.59999999998</v>
      </c>
      <c r="E2240" s="603"/>
    </row>
    <row r="2241" spans="1:5" x14ac:dyDescent="0.3">
      <c r="A2241" s="635" t="s">
        <v>1859</v>
      </c>
      <c r="B2241" s="635">
        <v>49.61</v>
      </c>
      <c r="C2241" s="636">
        <v>3735</v>
      </c>
      <c r="D2241" s="636">
        <v>185293.35</v>
      </c>
      <c r="E2241" s="603"/>
    </row>
    <row r="2242" spans="1:5" x14ac:dyDescent="0.3">
      <c r="A2242" s="635" t="s">
        <v>1858</v>
      </c>
      <c r="B2242" s="635">
        <v>49.24</v>
      </c>
      <c r="C2242" s="636">
        <v>11141</v>
      </c>
      <c r="D2242" s="636">
        <v>548582.84</v>
      </c>
      <c r="E2242" s="603"/>
    </row>
    <row r="2243" spans="1:5" x14ac:dyDescent="0.3">
      <c r="A2243" s="635" t="s">
        <v>1857</v>
      </c>
      <c r="B2243" s="635">
        <v>48.72</v>
      </c>
      <c r="C2243" s="636">
        <v>11793</v>
      </c>
      <c r="D2243" s="636">
        <v>574554.96</v>
      </c>
      <c r="E2243" s="603"/>
    </row>
    <row r="2244" spans="1:5" x14ac:dyDescent="0.3">
      <c r="A2244" s="635" t="s">
        <v>1856</v>
      </c>
      <c r="B2244" s="635">
        <v>48.52</v>
      </c>
      <c r="C2244" s="636">
        <v>11350</v>
      </c>
      <c r="D2244" s="636">
        <v>550702</v>
      </c>
      <c r="E2244" s="603"/>
    </row>
    <row r="2245" spans="1:5" x14ac:dyDescent="0.3">
      <c r="A2245" s="635" t="s">
        <v>1855</v>
      </c>
      <c r="B2245" s="635">
        <v>48.02</v>
      </c>
      <c r="C2245" s="636">
        <v>18866</v>
      </c>
      <c r="D2245" s="636">
        <v>905945.32000000007</v>
      </c>
      <c r="E2245" s="603"/>
    </row>
    <row r="2246" spans="1:5" x14ac:dyDescent="0.3">
      <c r="A2246" s="635" t="s">
        <v>1854</v>
      </c>
      <c r="B2246" s="635">
        <v>47.71</v>
      </c>
      <c r="C2246" s="636">
        <v>8596</v>
      </c>
      <c r="D2246" s="636">
        <v>410115.16</v>
      </c>
      <c r="E2246" s="603"/>
    </row>
    <row r="2247" spans="1:5" x14ac:dyDescent="0.3">
      <c r="A2247" s="635" t="s">
        <v>1853</v>
      </c>
      <c r="B2247" s="635">
        <v>48.81</v>
      </c>
      <c r="C2247" s="636">
        <v>10687</v>
      </c>
      <c r="D2247" s="636">
        <v>521632.47</v>
      </c>
      <c r="E2247" s="603"/>
    </row>
    <row r="2248" spans="1:5" x14ac:dyDescent="0.3">
      <c r="A2248" s="635" t="s">
        <v>1852</v>
      </c>
      <c r="B2248" s="635">
        <v>51.34</v>
      </c>
      <c r="C2248" s="636">
        <v>21848</v>
      </c>
      <c r="D2248" s="636">
        <v>1121676.32</v>
      </c>
      <c r="E2248" s="603"/>
    </row>
    <row r="2249" spans="1:5" x14ac:dyDescent="0.3">
      <c r="A2249" s="635" t="s">
        <v>1851</v>
      </c>
      <c r="B2249" s="635">
        <v>53.75</v>
      </c>
      <c r="C2249" s="636">
        <v>57572</v>
      </c>
      <c r="D2249" s="636">
        <v>3094495</v>
      </c>
      <c r="E2249" s="603"/>
    </row>
    <row r="2250" spans="1:5" x14ac:dyDescent="0.3">
      <c r="A2250" s="635" t="s">
        <v>1850</v>
      </c>
      <c r="B2250" s="635">
        <v>55.39</v>
      </c>
      <c r="C2250" s="636">
        <v>27152</v>
      </c>
      <c r="D2250" s="636">
        <v>1503949.28</v>
      </c>
      <c r="E2250" s="603"/>
    </row>
    <row r="2251" spans="1:5" x14ac:dyDescent="0.3">
      <c r="A2251" s="635" t="s">
        <v>1849</v>
      </c>
      <c r="B2251" s="635">
        <v>55.87</v>
      </c>
      <c r="C2251" s="636">
        <v>34654</v>
      </c>
      <c r="D2251" s="636">
        <v>1936118.98</v>
      </c>
      <c r="E2251" s="603"/>
    </row>
    <row r="2252" spans="1:5" x14ac:dyDescent="0.3">
      <c r="A2252" s="635" t="s">
        <v>1848</v>
      </c>
      <c r="B2252" s="635">
        <v>53.99</v>
      </c>
      <c r="C2252" s="636">
        <v>17167</v>
      </c>
      <c r="D2252" s="636">
        <v>926846.33000000007</v>
      </c>
      <c r="E2252" s="603"/>
    </row>
    <row r="2253" spans="1:5" x14ac:dyDescent="0.3">
      <c r="A2253" s="635" t="s">
        <v>1847</v>
      </c>
      <c r="B2253" s="635">
        <v>53.07</v>
      </c>
      <c r="C2253" s="636">
        <v>8745</v>
      </c>
      <c r="D2253" s="636">
        <v>464097.15</v>
      </c>
      <c r="E2253" s="603"/>
    </row>
    <row r="2254" spans="1:5" x14ac:dyDescent="0.3">
      <c r="A2254" s="635" t="s">
        <v>1846</v>
      </c>
      <c r="B2254" s="635">
        <v>50.98</v>
      </c>
      <c r="C2254" s="636">
        <v>12275</v>
      </c>
      <c r="D2254" s="636">
        <v>625779.5</v>
      </c>
      <c r="E2254" s="603"/>
    </row>
    <row r="2255" spans="1:5" x14ac:dyDescent="0.3">
      <c r="A2255" s="635" t="s">
        <v>1845</v>
      </c>
      <c r="B2255" s="635">
        <v>51.1</v>
      </c>
      <c r="C2255" s="636">
        <v>9252</v>
      </c>
      <c r="D2255" s="636">
        <v>472777.2</v>
      </c>
      <c r="E2255" s="603"/>
    </row>
    <row r="2256" spans="1:5" x14ac:dyDescent="0.3">
      <c r="A2256" s="635" t="s">
        <v>1844</v>
      </c>
      <c r="B2256" s="635">
        <v>53.65</v>
      </c>
      <c r="C2256" s="636">
        <v>12956</v>
      </c>
      <c r="D2256" s="636">
        <v>695089.4</v>
      </c>
      <c r="E2256" s="603"/>
    </row>
    <row r="2257" spans="1:5" x14ac:dyDescent="0.3">
      <c r="A2257" s="635" t="s">
        <v>1843</v>
      </c>
      <c r="B2257" s="635">
        <v>51.3</v>
      </c>
      <c r="C2257" s="636">
        <v>8165</v>
      </c>
      <c r="D2257" s="636">
        <v>418864.5</v>
      </c>
      <c r="E2257" s="603"/>
    </row>
    <row r="2258" spans="1:5" x14ac:dyDescent="0.3">
      <c r="A2258" s="635" t="s">
        <v>1842</v>
      </c>
      <c r="B2258" s="635">
        <v>50.47</v>
      </c>
      <c r="C2258" s="636">
        <v>6329</v>
      </c>
      <c r="D2258" s="636">
        <v>319424.63</v>
      </c>
      <c r="E2258" s="603"/>
    </row>
    <row r="2259" spans="1:5" x14ac:dyDescent="0.3">
      <c r="A2259" s="635" t="s">
        <v>1841</v>
      </c>
      <c r="B2259" s="635">
        <v>51.51</v>
      </c>
      <c r="C2259" s="636">
        <v>1116</v>
      </c>
      <c r="D2259" s="636">
        <v>57485.16</v>
      </c>
      <c r="E2259" s="603"/>
    </row>
    <row r="2260" spans="1:5" x14ac:dyDescent="0.3">
      <c r="A2260" s="635" t="s">
        <v>1840</v>
      </c>
      <c r="B2260" s="635">
        <v>50.52</v>
      </c>
      <c r="C2260" s="636">
        <v>11532</v>
      </c>
      <c r="D2260" s="636">
        <v>582596.64</v>
      </c>
      <c r="E2260" s="603"/>
    </row>
    <row r="2261" spans="1:5" x14ac:dyDescent="0.3">
      <c r="A2261" s="635" t="s">
        <v>1839</v>
      </c>
      <c r="B2261" s="635">
        <v>50.36</v>
      </c>
      <c r="C2261" s="636">
        <v>3609</v>
      </c>
      <c r="D2261" s="636">
        <v>181749.24</v>
      </c>
      <c r="E2261" s="603"/>
    </row>
    <row r="2262" spans="1:5" x14ac:dyDescent="0.3">
      <c r="A2262" s="635" t="s">
        <v>1838</v>
      </c>
      <c r="B2262" s="635">
        <v>50.31</v>
      </c>
      <c r="C2262" s="636">
        <v>5777</v>
      </c>
      <c r="D2262" s="636">
        <v>290640.87</v>
      </c>
      <c r="E2262" s="603"/>
    </row>
    <row r="2263" spans="1:5" x14ac:dyDescent="0.3">
      <c r="A2263" s="635" t="s">
        <v>1837</v>
      </c>
      <c r="B2263" s="635">
        <v>50.65</v>
      </c>
      <c r="C2263" s="636">
        <v>3100</v>
      </c>
      <c r="D2263" s="636">
        <v>157015</v>
      </c>
      <c r="E2263" s="603"/>
    </row>
    <row r="2264" spans="1:5" x14ac:dyDescent="0.3">
      <c r="A2264" s="635" t="s">
        <v>1836</v>
      </c>
      <c r="B2264" s="635">
        <v>50.72</v>
      </c>
      <c r="C2264" s="636">
        <v>3643</v>
      </c>
      <c r="D2264" s="636">
        <v>184772.96</v>
      </c>
      <c r="E2264" s="603"/>
    </row>
    <row r="2265" spans="1:5" x14ac:dyDescent="0.3">
      <c r="A2265" s="635" t="s">
        <v>1835</v>
      </c>
      <c r="B2265" s="635">
        <v>50.22</v>
      </c>
      <c r="C2265" s="636">
        <v>2314</v>
      </c>
      <c r="D2265" s="636">
        <v>116209.08</v>
      </c>
      <c r="E2265" s="603"/>
    </row>
    <row r="2266" spans="1:5" x14ac:dyDescent="0.3">
      <c r="A2266" s="635" t="s">
        <v>1834</v>
      </c>
      <c r="B2266" s="635">
        <v>50.03</v>
      </c>
      <c r="C2266" s="636">
        <v>1559</v>
      </c>
      <c r="D2266" s="636">
        <v>77996.77</v>
      </c>
      <c r="E2266" s="603"/>
    </row>
    <row r="2267" spans="1:5" x14ac:dyDescent="0.3">
      <c r="A2267" s="635" t="s">
        <v>1833</v>
      </c>
      <c r="B2267" s="635">
        <v>51.42</v>
      </c>
      <c r="C2267" s="636">
        <v>13077</v>
      </c>
      <c r="D2267" s="636">
        <v>672419.34</v>
      </c>
      <c r="E2267" s="603"/>
    </row>
    <row r="2268" spans="1:5" x14ac:dyDescent="0.3">
      <c r="A2268" s="635" t="s">
        <v>1832</v>
      </c>
      <c r="B2268" s="635">
        <v>53.24</v>
      </c>
      <c r="C2268" s="636">
        <v>16314</v>
      </c>
      <c r="D2268" s="636">
        <v>868557.36</v>
      </c>
      <c r="E2268" s="603"/>
    </row>
    <row r="2269" spans="1:5" x14ac:dyDescent="0.3">
      <c r="A2269" s="635" t="s">
        <v>1831</v>
      </c>
      <c r="B2269" s="635">
        <v>57.56</v>
      </c>
      <c r="C2269" s="636">
        <v>44768</v>
      </c>
      <c r="D2269" s="636">
        <v>2576846.08</v>
      </c>
      <c r="E2269" s="603"/>
    </row>
    <row r="2270" spans="1:5" x14ac:dyDescent="0.3">
      <c r="A2270" s="635" t="s">
        <v>2965</v>
      </c>
      <c r="B2270" s="635">
        <v>65.59</v>
      </c>
      <c r="C2270" s="636">
        <v>103194</v>
      </c>
      <c r="D2270" s="636">
        <v>6768494.46</v>
      </c>
      <c r="E2270" s="603"/>
    </row>
    <row r="2271" spans="1:5" x14ac:dyDescent="0.3">
      <c r="A2271" s="635" t="s">
        <v>1830</v>
      </c>
      <c r="B2271" s="635">
        <v>63.25</v>
      </c>
      <c r="C2271" s="636">
        <v>12830</v>
      </c>
      <c r="D2271" s="636">
        <v>811497.5</v>
      </c>
      <c r="E2271" s="603"/>
    </row>
    <row r="2272" spans="1:5" x14ac:dyDescent="0.3">
      <c r="A2272" s="635" t="s">
        <v>1829</v>
      </c>
      <c r="B2272" s="635">
        <v>65.77</v>
      </c>
      <c r="C2272" s="636">
        <v>35469</v>
      </c>
      <c r="D2272" s="636">
        <v>2332796.13</v>
      </c>
      <c r="E2272" s="603"/>
    </row>
    <row r="2273" spans="1:5" x14ac:dyDescent="0.3">
      <c r="A2273" s="635" t="s">
        <v>1828</v>
      </c>
      <c r="B2273" s="635">
        <v>63.81</v>
      </c>
      <c r="C2273" s="636">
        <v>6638</v>
      </c>
      <c r="D2273" s="636">
        <v>423570.78</v>
      </c>
      <c r="E2273" s="603"/>
    </row>
    <row r="2274" spans="1:5" x14ac:dyDescent="0.3">
      <c r="A2274" s="635" t="s">
        <v>1827</v>
      </c>
      <c r="B2274" s="635">
        <v>61.42</v>
      </c>
      <c r="C2274" s="636">
        <v>11181</v>
      </c>
      <c r="D2274" s="636">
        <v>686737.02</v>
      </c>
      <c r="E2274" s="603"/>
    </row>
    <row r="2275" spans="1:5" x14ac:dyDescent="0.3">
      <c r="A2275" s="635" t="s">
        <v>1826</v>
      </c>
      <c r="B2275" s="635">
        <v>60.45</v>
      </c>
      <c r="C2275" s="636">
        <v>9913</v>
      </c>
      <c r="D2275" s="636">
        <v>599240.85</v>
      </c>
      <c r="E2275" s="603"/>
    </row>
    <row r="2276" spans="1:5" x14ac:dyDescent="0.3">
      <c r="A2276" s="635" t="s">
        <v>2964</v>
      </c>
      <c r="B2276" s="635">
        <v>57.95</v>
      </c>
      <c r="C2276" s="636">
        <v>5769</v>
      </c>
      <c r="D2276" s="636">
        <v>334313.55</v>
      </c>
      <c r="E2276" s="603"/>
    </row>
    <row r="2277" spans="1:5" x14ac:dyDescent="0.3">
      <c r="A2277" s="635" t="s">
        <v>1825</v>
      </c>
      <c r="B2277" s="635">
        <v>57.39</v>
      </c>
      <c r="C2277" s="636">
        <v>8404</v>
      </c>
      <c r="D2277" s="636">
        <v>482305.56</v>
      </c>
      <c r="E2277" s="603"/>
    </row>
    <row r="2278" spans="1:5" x14ac:dyDescent="0.3">
      <c r="A2278" s="635" t="s">
        <v>1824</v>
      </c>
      <c r="B2278" s="635">
        <v>58.05</v>
      </c>
      <c r="C2278" s="636">
        <v>22514</v>
      </c>
      <c r="D2278" s="636">
        <v>1306937.7</v>
      </c>
      <c r="E2278" s="603"/>
    </row>
    <row r="2279" spans="1:5" x14ac:dyDescent="0.3">
      <c r="A2279" s="635" t="s">
        <v>1823</v>
      </c>
      <c r="B2279" s="635">
        <v>38.799999999999997</v>
      </c>
      <c r="C2279" s="636">
        <v>5186</v>
      </c>
      <c r="D2279" s="636">
        <v>201216.8</v>
      </c>
      <c r="E2279" s="603"/>
    </row>
    <row r="2280" spans="1:5" x14ac:dyDescent="0.3">
      <c r="A2280" s="635" t="s">
        <v>1822</v>
      </c>
      <c r="B2280" s="635">
        <v>35.97</v>
      </c>
      <c r="C2280" s="636">
        <v>6910</v>
      </c>
      <c r="D2280" s="636">
        <v>248552.7</v>
      </c>
      <c r="E2280" s="603"/>
    </row>
    <row r="2281" spans="1:5" x14ac:dyDescent="0.3">
      <c r="A2281" s="635" t="s">
        <v>1821</v>
      </c>
      <c r="B2281" s="635">
        <v>37.090000000000003</v>
      </c>
      <c r="C2281" s="636">
        <v>2467</v>
      </c>
      <c r="D2281" s="636">
        <v>91501.030000000013</v>
      </c>
      <c r="E2281" s="603"/>
    </row>
    <row r="2282" spans="1:5" x14ac:dyDescent="0.3">
      <c r="A2282" s="635" t="s">
        <v>1820</v>
      </c>
      <c r="B2282" s="635">
        <v>36.869999999999997</v>
      </c>
      <c r="C2282" s="636">
        <v>6628</v>
      </c>
      <c r="D2282" s="636">
        <v>244374.36</v>
      </c>
      <c r="E2282" s="603"/>
    </row>
    <row r="2283" spans="1:5" x14ac:dyDescent="0.3">
      <c r="A2283" s="635" t="s">
        <v>1819</v>
      </c>
      <c r="B2283" s="635">
        <v>36.89</v>
      </c>
      <c r="C2283" s="636">
        <v>4530</v>
      </c>
      <c r="D2283" s="636">
        <v>167111.70000000001</v>
      </c>
      <c r="E2283" s="603"/>
    </row>
    <row r="2284" spans="1:5" x14ac:dyDescent="0.3">
      <c r="A2284" s="635" t="s">
        <v>1818</v>
      </c>
      <c r="B2284" s="635">
        <v>36.270000000000003</v>
      </c>
      <c r="C2284" s="636">
        <v>8675</v>
      </c>
      <c r="D2284" s="636">
        <v>314642.25</v>
      </c>
      <c r="E2284" s="603"/>
    </row>
    <row r="2285" spans="1:5" x14ac:dyDescent="0.3">
      <c r="A2285" s="635" t="s">
        <v>1817</v>
      </c>
      <c r="B2285" s="635">
        <v>35.700000000000003</v>
      </c>
      <c r="C2285" s="636">
        <v>7465</v>
      </c>
      <c r="D2285" s="636">
        <v>266500.5</v>
      </c>
      <c r="E2285" s="603"/>
    </row>
    <row r="2286" spans="1:5" x14ac:dyDescent="0.3">
      <c r="A2286" s="635" t="s">
        <v>1816</v>
      </c>
      <c r="B2286" s="635">
        <v>37.1</v>
      </c>
      <c r="C2286" s="636">
        <v>6782</v>
      </c>
      <c r="D2286" s="636">
        <v>251612.2</v>
      </c>
      <c r="E2286" s="603"/>
    </row>
    <row r="2287" spans="1:5" x14ac:dyDescent="0.3">
      <c r="A2287" s="635" t="s">
        <v>1815</v>
      </c>
      <c r="B2287" s="635">
        <v>39.47</v>
      </c>
      <c r="C2287" s="636">
        <v>9715</v>
      </c>
      <c r="D2287" s="636">
        <v>383451.05</v>
      </c>
      <c r="E2287" s="603"/>
    </row>
    <row r="2288" spans="1:5" x14ac:dyDescent="0.3">
      <c r="A2288" s="635" t="s">
        <v>1814</v>
      </c>
      <c r="B2288" s="635">
        <v>39.78</v>
      </c>
      <c r="C2288" s="636">
        <v>5137</v>
      </c>
      <c r="D2288" s="636">
        <v>204349.86</v>
      </c>
      <c r="E2288" s="603"/>
    </row>
    <row r="2289" spans="1:5" x14ac:dyDescent="0.3">
      <c r="A2289" s="635" t="s">
        <v>2937</v>
      </c>
      <c r="B2289" s="635">
        <v>39.200000000000003</v>
      </c>
      <c r="C2289" s="636">
        <v>2485</v>
      </c>
      <c r="D2289" s="636">
        <v>97412</v>
      </c>
      <c r="E2289" s="603"/>
    </row>
    <row r="2290" spans="1:5" x14ac:dyDescent="0.3">
      <c r="A2290" s="635" t="s">
        <v>2936</v>
      </c>
      <c r="B2290" s="635">
        <v>39.229999999999997</v>
      </c>
      <c r="C2290" s="636">
        <v>4321</v>
      </c>
      <c r="D2290" s="636">
        <v>169512.83</v>
      </c>
      <c r="E2290" s="603"/>
    </row>
    <row r="2291" spans="1:5" x14ac:dyDescent="0.3">
      <c r="A2291" s="635" t="s">
        <v>2935</v>
      </c>
      <c r="B2291" s="635">
        <v>39.65</v>
      </c>
      <c r="C2291" s="636">
        <v>3874</v>
      </c>
      <c r="D2291" s="636">
        <v>153604.1</v>
      </c>
      <c r="E2291" s="603"/>
    </row>
    <row r="2292" spans="1:5" x14ac:dyDescent="0.3">
      <c r="A2292" s="635" t="s">
        <v>2963</v>
      </c>
      <c r="B2292" s="635">
        <v>41.65</v>
      </c>
      <c r="C2292" s="636">
        <v>4134</v>
      </c>
      <c r="D2292" s="636">
        <v>172181.1</v>
      </c>
      <c r="E2292" s="603"/>
    </row>
    <row r="2293" spans="1:5" x14ac:dyDescent="0.3">
      <c r="A2293" s="635" t="s">
        <v>2934</v>
      </c>
      <c r="B2293" s="635">
        <v>43.26</v>
      </c>
      <c r="C2293" s="636">
        <v>22217</v>
      </c>
      <c r="D2293" s="636">
        <v>961107.41999999993</v>
      </c>
      <c r="E2293" s="603"/>
    </row>
    <row r="2294" spans="1:5" x14ac:dyDescent="0.3">
      <c r="A2294" s="635" t="s">
        <v>2933</v>
      </c>
      <c r="B2294" s="635">
        <v>45.13</v>
      </c>
      <c r="C2294" s="636">
        <v>9922</v>
      </c>
      <c r="D2294" s="636">
        <v>447779.86</v>
      </c>
      <c r="E2294" s="603"/>
    </row>
    <row r="2295" spans="1:5" x14ac:dyDescent="0.3">
      <c r="A2295" s="635" t="s">
        <v>2932</v>
      </c>
      <c r="B2295" s="635">
        <v>42.98</v>
      </c>
      <c r="C2295" s="636">
        <v>7362</v>
      </c>
      <c r="D2295" s="636">
        <v>316418.76</v>
      </c>
      <c r="E2295" s="603"/>
    </row>
    <row r="2296" spans="1:5" x14ac:dyDescent="0.3">
      <c r="A2296" s="635" t="s">
        <v>2931</v>
      </c>
      <c r="B2296" s="635">
        <v>43.33</v>
      </c>
      <c r="C2296" s="636">
        <v>12528</v>
      </c>
      <c r="D2296" s="636">
        <v>542838.24</v>
      </c>
      <c r="E2296" s="603"/>
    </row>
    <row r="2297" spans="1:5" x14ac:dyDescent="0.3">
      <c r="A2297" s="635" t="s">
        <v>2930</v>
      </c>
      <c r="B2297" s="635">
        <v>44.57</v>
      </c>
      <c r="C2297" s="636">
        <v>5623</v>
      </c>
      <c r="D2297" s="636">
        <v>250617.11</v>
      </c>
      <c r="E2297" s="603"/>
    </row>
    <row r="2298" spans="1:5" x14ac:dyDescent="0.3">
      <c r="A2298" s="635" t="s">
        <v>2929</v>
      </c>
      <c r="B2298" s="635">
        <v>45.08</v>
      </c>
      <c r="C2298" s="636">
        <v>9060</v>
      </c>
      <c r="D2298" s="636">
        <v>408424.8</v>
      </c>
      <c r="E2298" s="603"/>
    </row>
    <row r="2299" spans="1:5" x14ac:dyDescent="0.3">
      <c r="A2299" s="635" t="s">
        <v>2928</v>
      </c>
      <c r="B2299" s="635">
        <v>43.35</v>
      </c>
      <c r="C2299" s="636">
        <v>6233</v>
      </c>
      <c r="D2299" s="636">
        <v>270200.55</v>
      </c>
      <c r="E2299" s="603"/>
    </row>
    <row r="2300" spans="1:5" x14ac:dyDescent="0.3">
      <c r="A2300" s="635" t="s">
        <v>2927</v>
      </c>
      <c r="B2300" s="635">
        <v>42.52</v>
      </c>
      <c r="C2300" s="636">
        <v>3300</v>
      </c>
      <c r="D2300" s="636">
        <v>140316</v>
      </c>
      <c r="E2300" s="603"/>
    </row>
    <row r="2301" spans="1:5" x14ac:dyDescent="0.3">
      <c r="A2301" s="635" t="s">
        <v>2926</v>
      </c>
      <c r="B2301" s="635">
        <v>42</v>
      </c>
      <c r="C2301" s="636">
        <v>6347</v>
      </c>
      <c r="D2301" s="636">
        <v>266574</v>
      </c>
      <c r="E2301" s="603"/>
    </row>
    <row r="2302" spans="1:5" x14ac:dyDescent="0.3">
      <c r="A2302" s="635" t="s">
        <v>2941</v>
      </c>
      <c r="B2302" s="635">
        <v>40.869999999999997</v>
      </c>
      <c r="C2302" s="636">
        <v>290</v>
      </c>
      <c r="D2302" s="636">
        <v>11852.3</v>
      </c>
      <c r="E2302" s="603"/>
    </row>
    <row r="2303" spans="1:5" x14ac:dyDescent="0.3">
      <c r="A2303" s="635" t="s">
        <v>2940</v>
      </c>
      <c r="B2303" s="635">
        <v>38.68</v>
      </c>
      <c r="C2303" s="636">
        <v>6264</v>
      </c>
      <c r="D2303" s="636">
        <v>242291.52</v>
      </c>
      <c r="E2303" s="603"/>
    </row>
    <row r="2304" spans="1:5" x14ac:dyDescent="0.3">
      <c r="A2304" s="635" t="s">
        <v>2939</v>
      </c>
      <c r="B2304" s="635">
        <v>40.4</v>
      </c>
      <c r="C2304" s="636">
        <v>3512</v>
      </c>
      <c r="D2304" s="636">
        <v>141884.79999999999</v>
      </c>
      <c r="E2304" s="603"/>
    </row>
    <row r="2305" spans="1:5" x14ac:dyDescent="0.3">
      <c r="A2305" s="635" t="s">
        <v>2938</v>
      </c>
      <c r="B2305" s="635">
        <v>40.42</v>
      </c>
      <c r="C2305" s="636">
        <v>941</v>
      </c>
      <c r="D2305" s="636">
        <v>38035.22</v>
      </c>
      <c r="E2305" s="603"/>
    </row>
    <row r="2306" spans="1:5" x14ac:dyDescent="0.3">
      <c r="A2306" s="635" t="s">
        <v>2962</v>
      </c>
      <c r="B2306" s="635">
        <v>40.69</v>
      </c>
      <c r="C2306" s="636">
        <v>5137</v>
      </c>
      <c r="D2306" s="636">
        <v>209024.53</v>
      </c>
      <c r="E2306" s="603"/>
    </row>
    <row r="2307" spans="1:5" x14ac:dyDescent="0.3">
      <c r="A2307" s="635" t="s">
        <v>2961</v>
      </c>
      <c r="B2307" s="635">
        <v>41.55</v>
      </c>
      <c r="C2307" s="636">
        <v>3070</v>
      </c>
      <c r="D2307" s="636">
        <v>127558.5</v>
      </c>
      <c r="E2307" s="603"/>
    </row>
    <row r="2308" spans="1:5" x14ac:dyDescent="0.3">
      <c r="A2308" s="635" t="s">
        <v>2960</v>
      </c>
      <c r="B2308" s="635">
        <v>40.78</v>
      </c>
      <c r="C2308" s="636">
        <v>1750</v>
      </c>
      <c r="D2308" s="636">
        <v>71365</v>
      </c>
      <c r="E2308" s="603"/>
    </row>
    <row r="2309" spans="1:5" x14ac:dyDescent="0.3">
      <c r="A2309" s="635" t="s">
        <v>2959</v>
      </c>
      <c r="B2309" s="635">
        <v>40.47</v>
      </c>
      <c r="C2309" s="636">
        <v>2547</v>
      </c>
      <c r="D2309" s="636">
        <v>103077.09</v>
      </c>
      <c r="E2309" s="603"/>
    </row>
    <row r="2310" spans="1:5" x14ac:dyDescent="0.3">
      <c r="A2310" s="635" t="s">
        <v>2958</v>
      </c>
      <c r="B2310" s="635">
        <v>40.47</v>
      </c>
      <c r="C2310" s="636">
        <v>619</v>
      </c>
      <c r="D2310" s="636">
        <v>25050.93</v>
      </c>
      <c r="E2310" s="603"/>
    </row>
    <row r="2311" spans="1:5" x14ac:dyDescent="0.3">
      <c r="A2311" s="635" t="s">
        <v>2957</v>
      </c>
      <c r="B2311" s="635">
        <v>39.47</v>
      </c>
      <c r="C2311" s="636">
        <v>600</v>
      </c>
      <c r="D2311" s="636">
        <v>23682</v>
      </c>
      <c r="E2311" s="603"/>
    </row>
    <row r="2312" spans="1:5" x14ac:dyDescent="0.3">
      <c r="A2312" s="635" t="s">
        <v>2956</v>
      </c>
      <c r="B2312" s="635">
        <v>40.159999999999997</v>
      </c>
      <c r="C2312" s="636">
        <v>2426</v>
      </c>
      <c r="D2312" s="636">
        <v>97428.159999999989</v>
      </c>
      <c r="E2312" s="603"/>
    </row>
    <row r="2313" spans="1:5" x14ac:dyDescent="0.3">
      <c r="A2313" s="635" t="s">
        <v>2955</v>
      </c>
      <c r="B2313" s="635">
        <v>39.86</v>
      </c>
      <c r="C2313" s="636">
        <v>2941</v>
      </c>
      <c r="D2313" s="636">
        <v>117228.26</v>
      </c>
      <c r="E2313" s="603"/>
    </row>
    <row r="2314" spans="1:5" x14ac:dyDescent="0.3">
      <c r="A2314" s="599"/>
      <c r="B2314" s="600"/>
      <c r="C2314" s="601"/>
      <c r="E2314" s="603"/>
    </row>
    <row r="2315" spans="1:5" x14ac:dyDescent="0.3">
      <c r="A2315" s="599"/>
      <c r="B2315" s="600"/>
      <c r="C2315" s="601"/>
      <c r="E2315" s="603"/>
    </row>
    <row r="2316" spans="1:5" x14ac:dyDescent="0.3">
      <c r="A2316" s="599"/>
      <c r="B2316" s="600"/>
      <c r="C2316" s="601"/>
      <c r="E2316" s="603"/>
    </row>
    <row r="2317" spans="1:5" x14ac:dyDescent="0.3">
      <c r="A2317" s="599"/>
      <c r="B2317" s="600"/>
      <c r="C2317" s="601"/>
      <c r="E2317" s="603"/>
    </row>
    <row r="2318" spans="1:5" x14ac:dyDescent="0.3">
      <c r="A2318" s="599"/>
      <c r="B2318" s="600"/>
      <c r="C2318" s="601"/>
      <c r="E2318" s="603"/>
    </row>
    <row r="2319" spans="1:5" x14ac:dyDescent="0.3">
      <c r="A2319" s="599"/>
      <c r="B2319" s="600"/>
      <c r="C2319" s="601"/>
      <c r="E2319" s="603"/>
    </row>
    <row r="2320" spans="1:5" x14ac:dyDescent="0.3">
      <c r="A2320" s="599"/>
      <c r="B2320" s="600"/>
      <c r="C2320" s="601"/>
      <c r="E2320" s="603"/>
    </row>
    <row r="2321" spans="1:5" x14ac:dyDescent="0.3">
      <c r="A2321" s="599"/>
      <c r="B2321" s="600"/>
      <c r="C2321" s="601"/>
      <c r="E2321" s="603"/>
    </row>
    <row r="2322" spans="1:5" x14ac:dyDescent="0.3">
      <c r="A2322" s="599"/>
      <c r="B2322" s="600"/>
      <c r="C2322" s="601"/>
      <c r="E2322" s="603"/>
    </row>
    <row r="2323" spans="1:5" x14ac:dyDescent="0.3">
      <c r="A2323" s="599"/>
      <c r="B2323" s="600"/>
      <c r="C2323" s="601"/>
      <c r="E2323" s="603"/>
    </row>
    <row r="2324" spans="1:5" x14ac:dyDescent="0.3">
      <c r="A2324" s="599"/>
      <c r="B2324" s="600"/>
      <c r="C2324" s="601"/>
      <c r="E2324" s="603"/>
    </row>
    <row r="2325" spans="1:5" x14ac:dyDescent="0.3">
      <c r="A2325" s="599"/>
      <c r="B2325" s="600"/>
      <c r="C2325" s="601"/>
      <c r="E2325" s="603"/>
    </row>
    <row r="2326" spans="1:5" x14ac:dyDescent="0.3">
      <c r="A2326" s="599"/>
      <c r="B2326" s="600"/>
      <c r="C2326" s="601"/>
      <c r="E2326" s="603"/>
    </row>
    <row r="2327" spans="1:5" x14ac:dyDescent="0.3">
      <c r="A2327" s="599"/>
      <c r="B2327" s="600"/>
      <c r="C2327" s="601"/>
      <c r="E2327" s="603"/>
    </row>
    <row r="2328" spans="1:5" x14ac:dyDescent="0.3">
      <c r="A2328" s="599"/>
      <c r="B2328" s="600"/>
      <c r="C2328" s="601"/>
      <c r="E2328" s="603"/>
    </row>
    <row r="2329" spans="1:5" x14ac:dyDescent="0.3">
      <c r="A2329" s="599"/>
      <c r="B2329" s="600"/>
      <c r="C2329" s="601"/>
      <c r="E2329" s="603"/>
    </row>
    <row r="2330" spans="1:5" x14ac:dyDescent="0.3">
      <c r="A2330" s="599"/>
      <c r="B2330" s="600"/>
      <c r="C2330" s="601"/>
      <c r="E2330" s="603"/>
    </row>
    <row r="2331" spans="1:5" x14ac:dyDescent="0.3">
      <c r="A2331" s="599"/>
      <c r="B2331" s="600"/>
      <c r="C2331" s="601"/>
      <c r="E2331" s="603"/>
    </row>
    <row r="2332" spans="1:5" x14ac:dyDescent="0.3">
      <c r="A2332" s="599"/>
      <c r="B2332" s="600"/>
      <c r="C2332" s="601"/>
      <c r="E2332" s="603"/>
    </row>
    <row r="2333" spans="1:5" x14ac:dyDescent="0.3">
      <c r="A2333" s="599"/>
      <c r="B2333" s="600"/>
      <c r="C2333" s="601"/>
      <c r="E2333" s="603"/>
    </row>
    <row r="2334" spans="1:5" x14ac:dyDescent="0.3">
      <c r="A2334" s="599"/>
      <c r="B2334" s="600"/>
      <c r="C2334" s="601"/>
      <c r="E2334" s="603"/>
    </row>
    <row r="2335" spans="1:5" x14ac:dyDescent="0.3">
      <c r="A2335" s="599"/>
      <c r="B2335" s="600"/>
      <c r="C2335" s="601"/>
      <c r="E2335" s="603"/>
    </row>
    <row r="2336" spans="1:5" x14ac:dyDescent="0.3">
      <c r="A2336" s="599"/>
      <c r="B2336" s="600"/>
      <c r="C2336" s="601"/>
      <c r="E2336" s="603"/>
    </row>
    <row r="2337" spans="1:5" x14ac:dyDescent="0.3">
      <c r="A2337" s="599"/>
      <c r="B2337" s="600"/>
      <c r="C2337" s="601"/>
      <c r="E2337" s="603"/>
    </row>
    <row r="2338" spans="1:5" x14ac:dyDescent="0.3">
      <c r="A2338" s="599"/>
      <c r="B2338" s="600"/>
      <c r="C2338" s="601"/>
      <c r="E2338" s="603"/>
    </row>
    <row r="2339" spans="1:5" x14ac:dyDescent="0.3">
      <c r="A2339" s="599"/>
      <c r="B2339" s="600"/>
      <c r="C2339" s="601"/>
      <c r="E2339" s="603"/>
    </row>
    <row r="2340" spans="1:5" x14ac:dyDescent="0.3">
      <c r="A2340" s="599"/>
      <c r="B2340" s="600"/>
      <c r="C2340" s="601"/>
      <c r="E2340" s="603"/>
    </row>
    <row r="2341" spans="1:5" x14ac:dyDescent="0.3">
      <c r="A2341" s="599"/>
      <c r="B2341" s="600"/>
      <c r="C2341" s="601"/>
      <c r="E2341" s="603"/>
    </row>
    <row r="2342" spans="1:5" x14ac:dyDescent="0.3">
      <c r="A2342" s="599"/>
      <c r="B2342" s="600"/>
      <c r="C2342" s="601"/>
      <c r="E2342" s="603"/>
    </row>
    <row r="2343" spans="1:5" x14ac:dyDescent="0.3">
      <c r="A2343" s="599"/>
      <c r="B2343" s="600"/>
      <c r="C2343" s="601"/>
      <c r="E2343" s="603"/>
    </row>
    <row r="2344" spans="1:5" x14ac:dyDescent="0.3">
      <c r="A2344" s="599"/>
      <c r="B2344" s="600"/>
      <c r="C2344" s="601"/>
      <c r="E2344" s="603"/>
    </row>
    <row r="2345" spans="1:5" x14ac:dyDescent="0.3">
      <c r="A2345" s="599"/>
      <c r="B2345" s="600"/>
      <c r="C2345" s="601"/>
      <c r="E2345" s="603"/>
    </row>
    <row r="2346" spans="1:5" x14ac:dyDescent="0.3">
      <c r="A2346" s="599"/>
      <c r="B2346" s="600"/>
      <c r="C2346" s="601"/>
      <c r="E2346" s="603"/>
    </row>
    <row r="2347" spans="1:5" x14ac:dyDescent="0.3">
      <c r="A2347" s="599"/>
      <c r="B2347" s="600"/>
      <c r="C2347" s="601"/>
      <c r="E2347" s="603"/>
    </row>
    <row r="2348" spans="1:5" x14ac:dyDescent="0.3">
      <c r="A2348" s="599"/>
      <c r="B2348" s="600"/>
      <c r="C2348" s="601"/>
      <c r="E2348" s="603"/>
    </row>
    <row r="2349" spans="1:5" x14ac:dyDescent="0.3">
      <c r="A2349" s="599"/>
      <c r="B2349" s="600"/>
      <c r="C2349" s="601"/>
      <c r="E2349" s="603"/>
    </row>
    <row r="2350" spans="1:5" x14ac:dyDescent="0.3">
      <c r="A2350" s="599"/>
      <c r="B2350" s="600"/>
      <c r="C2350" s="601"/>
      <c r="E2350" s="603"/>
    </row>
    <row r="2351" spans="1:5" x14ac:dyDescent="0.3">
      <c r="A2351" s="599"/>
      <c r="B2351" s="600"/>
      <c r="C2351" s="601"/>
      <c r="E2351" s="603"/>
    </row>
    <row r="2352" spans="1:5" x14ac:dyDescent="0.3">
      <c r="A2352" s="599"/>
      <c r="B2352" s="600"/>
      <c r="C2352" s="601"/>
      <c r="E2352" s="603"/>
    </row>
    <row r="2353" spans="1:5" x14ac:dyDescent="0.3">
      <c r="A2353" s="599"/>
      <c r="B2353" s="600"/>
      <c r="C2353" s="601"/>
      <c r="E2353" s="603"/>
    </row>
    <row r="2354" spans="1:5" x14ac:dyDescent="0.3">
      <c r="A2354" s="599"/>
      <c r="B2354" s="600"/>
      <c r="C2354" s="601"/>
      <c r="E2354" s="603"/>
    </row>
    <row r="2355" spans="1:5" x14ac:dyDescent="0.3">
      <c r="A2355" s="599"/>
      <c r="B2355" s="600"/>
      <c r="C2355" s="601"/>
      <c r="E2355" s="603"/>
    </row>
    <row r="2356" spans="1:5" x14ac:dyDescent="0.3">
      <c r="A2356" s="599"/>
      <c r="B2356" s="600"/>
      <c r="C2356" s="601"/>
      <c r="E2356" s="603"/>
    </row>
    <row r="2357" spans="1:5" x14ac:dyDescent="0.3">
      <c r="A2357" s="599"/>
      <c r="B2357" s="600"/>
      <c r="C2357" s="601"/>
      <c r="E2357" s="603"/>
    </row>
    <row r="2358" spans="1:5" x14ac:dyDescent="0.3">
      <c r="A2358" s="599"/>
      <c r="B2358" s="600"/>
      <c r="C2358" s="601"/>
      <c r="E2358" s="603"/>
    </row>
    <row r="2359" spans="1:5" x14ac:dyDescent="0.3">
      <c r="A2359" s="599"/>
      <c r="B2359" s="600"/>
      <c r="C2359" s="601"/>
      <c r="E2359" s="603"/>
    </row>
    <row r="2360" spans="1:5" x14ac:dyDescent="0.3">
      <c r="A2360" s="599"/>
      <c r="B2360" s="600"/>
      <c r="C2360" s="601"/>
      <c r="E2360" s="603"/>
    </row>
    <row r="2361" spans="1:5" x14ac:dyDescent="0.3">
      <c r="A2361" s="599"/>
      <c r="B2361" s="600"/>
      <c r="C2361" s="601"/>
      <c r="E2361" s="603"/>
    </row>
    <row r="2362" spans="1:5" x14ac:dyDescent="0.3">
      <c r="A2362" s="599"/>
      <c r="B2362" s="600"/>
      <c r="C2362" s="601"/>
      <c r="E2362" s="603"/>
    </row>
    <row r="2363" spans="1:5" x14ac:dyDescent="0.3">
      <c r="A2363" s="599"/>
      <c r="B2363" s="600"/>
      <c r="C2363" s="601"/>
      <c r="E2363" s="603"/>
    </row>
    <row r="2364" spans="1:5" x14ac:dyDescent="0.3">
      <c r="A2364" s="599"/>
      <c r="B2364" s="600"/>
      <c r="C2364" s="601"/>
      <c r="E2364" s="603"/>
    </row>
    <row r="2365" spans="1:5" x14ac:dyDescent="0.3">
      <c r="A2365" s="599"/>
      <c r="B2365" s="600"/>
      <c r="C2365" s="601"/>
      <c r="E2365" s="603"/>
    </row>
    <row r="2366" spans="1:5" x14ac:dyDescent="0.3">
      <c r="A2366" s="599"/>
      <c r="B2366" s="600"/>
      <c r="C2366" s="601"/>
      <c r="E2366" s="603"/>
    </row>
    <row r="2367" spans="1:5" x14ac:dyDescent="0.3">
      <c r="A2367" s="599"/>
      <c r="B2367" s="600"/>
      <c r="C2367" s="601"/>
      <c r="E2367" s="603"/>
    </row>
    <row r="2368" spans="1:5" x14ac:dyDescent="0.3">
      <c r="A2368" s="599"/>
      <c r="B2368" s="600"/>
      <c r="C2368" s="601"/>
      <c r="E2368" s="603"/>
    </row>
    <row r="2369" spans="1:5" x14ac:dyDescent="0.3">
      <c r="A2369" s="599"/>
      <c r="B2369" s="600"/>
      <c r="C2369" s="601"/>
      <c r="E2369" s="603"/>
    </row>
    <row r="2370" spans="1:5" x14ac:dyDescent="0.3">
      <c r="A2370" s="599"/>
      <c r="B2370" s="600"/>
      <c r="C2370" s="601"/>
      <c r="E2370" s="603"/>
    </row>
    <row r="2371" spans="1:5" x14ac:dyDescent="0.3">
      <c r="A2371" s="599"/>
      <c r="B2371" s="600"/>
      <c r="C2371" s="601"/>
      <c r="E2371" s="603"/>
    </row>
    <row r="2372" spans="1:5" x14ac:dyDescent="0.3">
      <c r="A2372" s="599"/>
      <c r="B2372" s="600"/>
      <c r="C2372" s="601"/>
      <c r="E2372" s="603"/>
    </row>
    <row r="2373" spans="1:5" x14ac:dyDescent="0.3">
      <c r="A2373" s="599"/>
      <c r="B2373" s="600"/>
      <c r="C2373" s="601"/>
      <c r="E2373" s="603"/>
    </row>
    <row r="2374" spans="1:5" x14ac:dyDescent="0.3">
      <c r="A2374" s="599"/>
      <c r="B2374" s="600"/>
      <c r="C2374" s="601"/>
      <c r="E2374" s="603"/>
    </row>
    <row r="2375" spans="1:5" x14ac:dyDescent="0.3">
      <c r="A2375" s="599"/>
      <c r="B2375" s="600"/>
      <c r="C2375" s="601"/>
      <c r="E2375" s="603"/>
    </row>
    <row r="2376" spans="1:5" x14ac:dyDescent="0.3">
      <c r="A2376" s="599"/>
      <c r="B2376" s="600"/>
      <c r="C2376" s="601"/>
      <c r="E2376" s="603"/>
    </row>
    <row r="2377" spans="1:5" x14ac:dyDescent="0.3">
      <c r="A2377" s="599"/>
      <c r="B2377" s="600"/>
      <c r="C2377" s="601"/>
      <c r="E2377" s="603"/>
    </row>
    <row r="2378" spans="1:5" x14ac:dyDescent="0.3">
      <c r="A2378" s="599"/>
      <c r="B2378" s="600"/>
      <c r="C2378" s="601"/>
      <c r="E2378" s="603"/>
    </row>
    <row r="2379" spans="1:5" x14ac:dyDescent="0.3">
      <c r="A2379" s="599"/>
      <c r="B2379" s="600"/>
      <c r="C2379" s="601"/>
      <c r="E2379" s="603"/>
    </row>
    <row r="2380" spans="1:5" x14ac:dyDescent="0.3">
      <c r="A2380" s="599"/>
      <c r="B2380" s="600"/>
      <c r="C2380" s="601"/>
      <c r="E2380" s="603"/>
    </row>
    <row r="2381" spans="1:5" x14ac:dyDescent="0.3">
      <c r="A2381" s="599"/>
      <c r="B2381" s="600"/>
      <c r="C2381" s="601"/>
      <c r="E2381" s="603"/>
    </row>
    <row r="2382" spans="1:5" x14ac:dyDescent="0.3">
      <c r="A2382" s="599"/>
      <c r="B2382" s="600"/>
      <c r="C2382" s="601"/>
      <c r="E2382" s="603"/>
    </row>
    <row r="2383" spans="1:5" x14ac:dyDescent="0.3">
      <c r="A2383" s="599"/>
      <c r="B2383" s="600"/>
      <c r="C2383" s="601"/>
      <c r="E2383" s="603"/>
    </row>
    <row r="2384" spans="1:5" x14ac:dyDescent="0.3">
      <c r="A2384" s="599"/>
      <c r="B2384" s="600"/>
      <c r="C2384" s="601"/>
      <c r="E2384" s="603"/>
    </row>
    <row r="2385" spans="1:5" x14ac:dyDescent="0.3">
      <c r="A2385" s="599"/>
      <c r="B2385" s="600"/>
      <c r="C2385" s="601"/>
      <c r="E2385" s="603"/>
    </row>
    <row r="2386" spans="1:5" x14ac:dyDescent="0.3">
      <c r="A2386" s="599"/>
      <c r="B2386" s="600"/>
      <c r="C2386" s="601"/>
      <c r="E2386" s="603"/>
    </row>
    <row r="2387" spans="1:5" x14ac:dyDescent="0.3">
      <c r="A2387" s="599"/>
      <c r="B2387" s="600"/>
      <c r="C2387" s="601"/>
      <c r="E2387" s="603"/>
    </row>
    <row r="2388" spans="1:5" x14ac:dyDescent="0.3">
      <c r="A2388" s="599"/>
      <c r="B2388" s="600"/>
      <c r="C2388" s="601"/>
      <c r="E2388" s="603"/>
    </row>
    <row r="2389" spans="1:5" x14ac:dyDescent="0.3">
      <c r="A2389" s="599"/>
      <c r="B2389" s="600"/>
      <c r="C2389" s="601"/>
      <c r="E2389" s="603"/>
    </row>
    <row r="2390" spans="1:5" x14ac:dyDescent="0.3">
      <c r="A2390" s="599"/>
      <c r="B2390" s="600"/>
      <c r="C2390" s="601"/>
      <c r="E2390" s="603"/>
    </row>
    <row r="2391" spans="1:5" x14ac:dyDescent="0.3">
      <c r="A2391" s="599"/>
      <c r="B2391" s="600"/>
      <c r="C2391" s="601"/>
      <c r="E2391" s="603"/>
    </row>
    <row r="2392" spans="1:5" x14ac:dyDescent="0.3">
      <c r="A2392" s="599"/>
      <c r="B2392" s="600"/>
      <c r="C2392" s="601"/>
      <c r="E2392" s="603"/>
    </row>
    <row r="2393" spans="1:5" x14ac:dyDescent="0.3">
      <c r="A2393" s="599"/>
      <c r="B2393" s="600"/>
      <c r="C2393" s="601"/>
      <c r="E2393" s="603"/>
    </row>
    <row r="2394" spans="1:5" x14ac:dyDescent="0.3">
      <c r="A2394" s="599"/>
      <c r="B2394" s="600"/>
      <c r="C2394" s="601"/>
      <c r="E2394" s="603"/>
    </row>
    <row r="2395" spans="1:5" x14ac:dyDescent="0.3">
      <c r="A2395" s="599"/>
      <c r="B2395" s="600"/>
      <c r="C2395" s="601"/>
      <c r="E2395" s="603"/>
    </row>
    <row r="2396" spans="1:5" x14ac:dyDescent="0.3">
      <c r="A2396" s="599"/>
      <c r="B2396" s="600"/>
      <c r="C2396" s="601"/>
      <c r="E2396" s="603"/>
    </row>
    <row r="2397" spans="1:5" x14ac:dyDescent="0.3">
      <c r="A2397" s="599"/>
      <c r="B2397" s="600"/>
      <c r="C2397" s="601"/>
      <c r="E2397" s="603"/>
    </row>
    <row r="2398" spans="1:5" x14ac:dyDescent="0.3">
      <c r="A2398" s="599"/>
      <c r="B2398" s="600"/>
      <c r="C2398" s="601"/>
      <c r="E2398" s="603"/>
    </row>
    <row r="2399" spans="1:5" x14ac:dyDescent="0.3">
      <c r="A2399" s="599"/>
      <c r="B2399" s="600"/>
      <c r="C2399" s="601"/>
      <c r="E2399" s="603"/>
    </row>
    <row r="2400" spans="1:5" x14ac:dyDescent="0.3">
      <c r="A2400" s="599"/>
      <c r="B2400" s="600"/>
      <c r="C2400" s="601"/>
      <c r="E2400" s="603"/>
    </row>
    <row r="2401" spans="1:5" x14ac:dyDescent="0.3">
      <c r="A2401" s="599"/>
      <c r="B2401" s="600"/>
      <c r="C2401" s="601"/>
      <c r="E2401" s="603"/>
    </row>
    <row r="2402" spans="1:5" x14ac:dyDescent="0.3">
      <c r="A2402" s="599"/>
      <c r="B2402" s="600"/>
      <c r="C2402" s="601"/>
      <c r="E2402" s="603"/>
    </row>
    <row r="2403" spans="1:5" x14ac:dyDescent="0.3">
      <c r="A2403" s="599"/>
      <c r="B2403" s="600"/>
      <c r="C2403" s="601"/>
      <c r="E2403" s="603"/>
    </row>
    <row r="2404" spans="1:5" x14ac:dyDescent="0.3">
      <c r="A2404" s="599"/>
      <c r="B2404" s="600"/>
      <c r="C2404" s="601"/>
      <c r="E2404" s="603"/>
    </row>
    <row r="2405" spans="1:5" x14ac:dyDescent="0.3">
      <c r="A2405" s="599"/>
      <c r="B2405" s="600"/>
      <c r="C2405" s="601"/>
      <c r="E2405" s="603"/>
    </row>
    <row r="2406" spans="1:5" x14ac:dyDescent="0.3">
      <c r="A2406" s="599"/>
      <c r="B2406" s="600"/>
      <c r="C2406" s="601"/>
      <c r="E2406" s="603"/>
    </row>
    <row r="2407" spans="1:5" x14ac:dyDescent="0.3">
      <c r="A2407" s="599"/>
      <c r="B2407" s="600"/>
      <c r="C2407" s="601"/>
      <c r="E2407" s="603"/>
    </row>
    <row r="2408" spans="1:5" x14ac:dyDescent="0.3">
      <c r="A2408" s="599"/>
      <c r="B2408" s="600"/>
      <c r="C2408" s="601"/>
      <c r="E2408" s="603"/>
    </row>
    <row r="2409" spans="1:5" x14ac:dyDescent="0.3">
      <c r="A2409" s="599"/>
      <c r="B2409" s="600"/>
      <c r="C2409" s="601"/>
      <c r="E2409" s="603"/>
    </row>
    <row r="2410" spans="1:5" x14ac:dyDescent="0.3">
      <c r="A2410" s="599"/>
      <c r="B2410" s="600"/>
      <c r="C2410" s="601"/>
      <c r="E2410" s="603"/>
    </row>
    <row r="2411" spans="1:5" x14ac:dyDescent="0.3">
      <c r="A2411" s="599"/>
      <c r="B2411" s="600"/>
      <c r="C2411" s="601"/>
      <c r="E2411" s="603"/>
    </row>
    <row r="2412" spans="1:5" x14ac:dyDescent="0.3">
      <c r="A2412" s="599"/>
      <c r="B2412" s="600"/>
      <c r="C2412" s="601"/>
      <c r="E2412" s="603"/>
    </row>
    <row r="2413" spans="1:5" x14ac:dyDescent="0.3">
      <c r="A2413" s="599"/>
      <c r="B2413" s="600"/>
      <c r="C2413" s="601"/>
      <c r="E2413" s="603"/>
    </row>
    <row r="2414" spans="1:5" x14ac:dyDescent="0.3">
      <c r="A2414" s="599"/>
      <c r="B2414" s="600"/>
      <c r="C2414" s="601"/>
      <c r="E2414" s="603"/>
    </row>
    <row r="2415" spans="1:5" x14ac:dyDescent="0.3">
      <c r="A2415" s="599"/>
      <c r="B2415" s="600"/>
      <c r="C2415" s="601"/>
      <c r="E2415" s="603"/>
    </row>
    <row r="2416" spans="1:5" x14ac:dyDescent="0.3">
      <c r="A2416" s="599"/>
      <c r="B2416" s="600"/>
      <c r="C2416" s="601"/>
      <c r="E2416" s="603"/>
    </row>
    <row r="2417" spans="1:5" x14ac:dyDescent="0.3">
      <c r="A2417" s="599"/>
      <c r="B2417" s="600"/>
      <c r="C2417" s="601"/>
      <c r="E2417" s="603"/>
    </row>
    <row r="2418" spans="1:5" x14ac:dyDescent="0.3">
      <c r="A2418" s="599"/>
      <c r="B2418" s="600"/>
      <c r="C2418" s="601"/>
      <c r="E2418" s="603"/>
    </row>
    <row r="2419" spans="1:5" x14ac:dyDescent="0.3">
      <c r="A2419" s="599"/>
      <c r="B2419" s="600"/>
      <c r="C2419" s="601"/>
      <c r="E2419" s="603"/>
    </row>
    <row r="2420" spans="1:5" x14ac:dyDescent="0.3">
      <c r="A2420" s="599"/>
      <c r="B2420" s="600"/>
      <c r="C2420" s="601"/>
      <c r="E2420" s="603"/>
    </row>
    <row r="2421" spans="1:5" x14ac:dyDescent="0.3">
      <c r="A2421" s="599"/>
      <c r="B2421" s="600"/>
      <c r="C2421" s="601"/>
      <c r="E2421" s="603"/>
    </row>
    <row r="2422" spans="1:5" x14ac:dyDescent="0.3">
      <c r="A2422" s="599"/>
      <c r="B2422" s="600"/>
      <c r="C2422" s="601"/>
      <c r="E2422" s="603"/>
    </row>
    <row r="2423" spans="1:5" x14ac:dyDescent="0.3">
      <c r="A2423" s="599"/>
      <c r="B2423" s="600"/>
      <c r="C2423" s="601"/>
      <c r="E2423" s="603"/>
    </row>
    <row r="2424" spans="1:5" x14ac:dyDescent="0.3">
      <c r="A2424" s="599"/>
      <c r="B2424" s="600"/>
      <c r="C2424" s="601"/>
      <c r="E2424" s="603"/>
    </row>
    <row r="2425" spans="1:5" x14ac:dyDescent="0.3">
      <c r="A2425" s="599"/>
      <c r="B2425" s="600"/>
      <c r="C2425" s="601"/>
      <c r="E2425" s="603"/>
    </row>
    <row r="2426" spans="1:5" x14ac:dyDescent="0.3">
      <c r="A2426" s="599"/>
      <c r="B2426" s="600"/>
      <c r="C2426" s="601"/>
      <c r="E2426" s="603"/>
    </row>
    <row r="2427" spans="1:5" x14ac:dyDescent="0.3">
      <c r="A2427" s="599"/>
      <c r="B2427" s="600"/>
      <c r="C2427" s="601"/>
      <c r="E2427" s="603"/>
    </row>
    <row r="2428" spans="1:5" x14ac:dyDescent="0.3">
      <c r="A2428" s="599"/>
      <c r="B2428" s="600"/>
      <c r="C2428" s="601"/>
      <c r="E2428" s="603"/>
    </row>
    <row r="2429" spans="1:5" x14ac:dyDescent="0.3">
      <c r="A2429" s="599"/>
      <c r="B2429" s="600"/>
      <c r="C2429" s="601"/>
      <c r="E2429" s="603"/>
    </row>
    <row r="2430" spans="1:5" x14ac:dyDescent="0.3">
      <c r="A2430" s="599"/>
      <c r="B2430" s="600"/>
      <c r="C2430" s="601"/>
      <c r="E2430" s="603"/>
    </row>
    <row r="2431" spans="1:5" x14ac:dyDescent="0.3">
      <c r="A2431" s="599"/>
      <c r="B2431" s="600"/>
      <c r="C2431" s="601"/>
      <c r="E2431" s="603"/>
    </row>
    <row r="2432" spans="1:5" x14ac:dyDescent="0.3">
      <c r="A2432" s="599"/>
      <c r="B2432" s="600"/>
      <c r="C2432" s="601"/>
      <c r="E2432" s="603"/>
    </row>
    <row r="2433" spans="1:5" x14ac:dyDescent="0.3">
      <c r="A2433" s="599"/>
      <c r="B2433" s="600"/>
      <c r="C2433" s="601"/>
      <c r="E2433" s="603"/>
    </row>
    <row r="2434" spans="1:5" x14ac:dyDescent="0.3">
      <c r="A2434" s="599"/>
      <c r="B2434" s="600"/>
      <c r="C2434" s="601"/>
      <c r="E2434" s="603"/>
    </row>
    <row r="2435" spans="1:5" x14ac:dyDescent="0.3">
      <c r="A2435" s="599"/>
      <c r="B2435" s="600"/>
      <c r="C2435" s="601"/>
      <c r="E2435" s="603"/>
    </row>
    <row r="2436" spans="1:5" x14ac:dyDescent="0.3">
      <c r="A2436" s="599"/>
      <c r="B2436" s="600"/>
      <c r="C2436" s="601"/>
      <c r="E2436" s="603"/>
    </row>
    <row r="2437" spans="1:5" x14ac:dyDescent="0.3">
      <c r="A2437" s="599"/>
      <c r="B2437" s="600"/>
      <c r="C2437" s="601"/>
      <c r="E2437" s="603"/>
    </row>
    <row r="2438" spans="1:5" x14ac:dyDescent="0.3">
      <c r="A2438" s="599"/>
      <c r="B2438" s="600"/>
      <c r="C2438" s="601"/>
      <c r="E2438" s="603"/>
    </row>
    <row r="2439" spans="1:5" x14ac:dyDescent="0.3">
      <c r="A2439" s="599"/>
      <c r="B2439" s="600"/>
      <c r="C2439" s="601"/>
      <c r="E2439" s="603"/>
    </row>
    <row r="2440" spans="1:5" x14ac:dyDescent="0.3">
      <c r="A2440" s="599"/>
      <c r="B2440" s="600"/>
      <c r="C2440" s="601"/>
      <c r="E2440" s="603"/>
    </row>
    <row r="2441" spans="1:5" x14ac:dyDescent="0.3">
      <c r="A2441" s="599"/>
      <c r="B2441" s="600"/>
      <c r="C2441" s="601"/>
      <c r="E2441" s="603"/>
    </row>
    <row r="2442" spans="1:5" x14ac:dyDescent="0.3">
      <c r="A2442" s="599"/>
      <c r="B2442" s="600"/>
      <c r="C2442" s="601"/>
      <c r="E2442" s="603"/>
    </row>
    <row r="2443" spans="1:5" x14ac:dyDescent="0.3">
      <c r="A2443" s="599"/>
      <c r="B2443" s="600"/>
      <c r="C2443" s="601"/>
      <c r="E2443" s="603"/>
    </row>
    <row r="2444" spans="1:5" x14ac:dyDescent="0.3">
      <c r="A2444" s="599"/>
      <c r="B2444" s="600"/>
      <c r="C2444" s="601"/>
      <c r="E2444" s="603"/>
    </row>
    <row r="2445" spans="1:5" x14ac:dyDescent="0.3">
      <c r="A2445" s="599"/>
      <c r="B2445" s="600"/>
      <c r="C2445" s="601"/>
      <c r="E2445" s="603"/>
    </row>
    <row r="2446" spans="1:5" x14ac:dyDescent="0.3">
      <c r="A2446" s="599"/>
      <c r="B2446" s="600"/>
      <c r="C2446" s="601"/>
      <c r="E2446" s="603"/>
    </row>
    <row r="2447" spans="1:5" x14ac:dyDescent="0.3">
      <c r="A2447" s="599"/>
      <c r="B2447" s="600"/>
      <c r="C2447" s="601"/>
      <c r="E2447" s="603"/>
    </row>
    <row r="2448" spans="1:5" x14ac:dyDescent="0.3">
      <c r="A2448" s="599"/>
      <c r="B2448" s="600"/>
      <c r="C2448" s="601"/>
      <c r="E2448" s="603"/>
    </row>
    <row r="2449" spans="1:5" x14ac:dyDescent="0.3">
      <c r="A2449" s="599"/>
      <c r="B2449" s="600"/>
      <c r="C2449" s="601"/>
      <c r="E2449" s="603"/>
    </row>
    <row r="2450" spans="1:5" x14ac:dyDescent="0.3">
      <c r="A2450" s="599"/>
      <c r="B2450" s="600"/>
      <c r="C2450" s="601"/>
      <c r="E2450" s="603"/>
    </row>
    <row r="2451" spans="1:5" x14ac:dyDescent="0.3">
      <c r="A2451" s="599"/>
      <c r="B2451" s="600"/>
      <c r="C2451" s="601"/>
      <c r="E2451" s="603"/>
    </row>
    <row r="2452" spans="1:5" x14ac:dyDescent="0.3">
      <c r="A2452" s="599"/>
      <c r="B2452" s="600"/>
      <c r="C2452" s="601"/>
      <c r="E2452" s="603"/>
    </row>
    <row r="2453" spans="1:5" x14ac:dyDescent="0.3">
      <c r="A2453" s="599"/>
      <c r="B2453" s="600"/>
      <c r="C2453" s="601"/>
      <c r="E2453" s="603"/>
    </row>
    <row r="2454" spans="1:5" x14ac:dyDescent="0.3">
      <c r="A2454" s="599"/>
      <c r="B2454" s="600"/>
      <c r="C2454" s="601"/>
      <c r="E2454" s="603"/>
    </row>
    <row r="2455" spans="1:5" x14ac:dyDescent="0.3">
      <c r="A2455" s="599"/>
      <c r="B2455" s="600"/>
      <c r="C2455" s="601"/>
      <c r="E2455" s="603"/>
    </row>
    <row r="2456" spans="1:5" x14ac:dyDescent="0.3">
      <c r="A2456" s="599"/>
      <c r="B2456" s="600"/>
      <c r="C2456" s="601"/>
      <c r="E2456" s="603"/>
    </row>
    <row r="2457" spans="1:5" x14ac:dyDescent="0.3">
      <c r="A2457" s="599"/>
      <c r="B2457" s="600"/>
      <c r="C2457" s="601"/>
      <c r="E2457" s="603"/>
    </row>
    <row r="2458" spans="1:5" x14ac:dyDescent="0.3">
      <c r="A2458" s="599"/>
      <c r="B2458" s="600"/>
      <c r="C2458" s="601"/>
      <c r="E2458" s="603"/>
    </row>
    <row r="2459" spans="1:5" x14ac:dyDescent="0.3">
      <c r="A2459" s="599"/>
      <c r="B2459" s="600"/>
      <c r="C2459" s="601"/>
      <c r="E2459" s="603"/>
    </row>
    <row r="2460" spans="1:5" x14ac:dyDescent="0.3">
      <c r="A2460" s="599"/>
      <c r="B2460" s="600"/>
      <c r="C2460" s="601"/>
      <c r="E2460" s="603"/>
    </row>
    <row r="2461" spans="1:5" x14ac:dyDescent="0.3">
      <c r="A2461" s="599"/>
      <c r="B2461" s="600"/>
      <c r="C2461" s="601"/>
      <c r="E2461" s="603"/>
    </row>
    <row r="2462" spans="1:5" x14ac:dyDescent="0.3">
      <c r="A2462" s="599"/>
      <c r="B2462" s="600"/>
      <c r="C2462" s="601"/>
      <c r="E2462" s="603"/>
    </row>
    <row r="2463" spans="1:5" x14ac:dyDescent="0.3">
      <c r="A2463" s="599"/>
      <c r="B2463" s="600"/>
      <c r="C2463" s="601"/>
      <c r="E2463" s="603"/>
    </row>
    <row r="2464" spans="1:5" x14ac:dyDescent="0.3">
      <c r="A2464" s="599"/>
      <c r="B2464" s="600"/>
      <c r="C2464" s="601"/>
      <c r="E2464" s="603"/>
    </row>
    <row r="2465" spans="1:5" x14ac:dyDescent="0.3">
      <c r="A2465" s="599"/>
      <c r="B2465" s="600"/>
      <c r="C2465" s="601"/>
      <c r="E2465" s="603"/>
    </row>
    <row r="2466" spans="1:5" x14ac:dyDescent="0.3">
      <c r="A2466" s="599"/>
      <c r="B2466" s="600"/>
      <c r="C2466" s="601"/>
      <c r="E2466" s="603"/>
    </row>
    <row r="2467" spans="1:5" x14ac:dyDescent="0.3">
      <c r="A2467" s="599"/>
      <c r="B2467" s="600"/>
      <c r="C2467" s="601"/>
      <c r="E2467" s="603"/>
    </row>
    <row r="2468" spans="1:5" x14ac:dyDescent="0.3">
      <c r="A2468" s="599"/>
      <c r="B2468" s="600"/>
      <c r="C2468" s="601"/>
      <c r="E2468" s="603"/>
    </row>
    <row r="2469" spans="1:5" x14ac:dyDescent="0.3">
      <c r="A2469" s="599"/>
      <c r="B2469" s="600"/>
      <c r="C2469" s="601"/>
      <c r="E2469" s="603"/>
    </row>
    <row r="2470" spans="1:5" x14ac:dyDescent="0.3">
      <c r="A2470" s="599"/>
      <c r="B2470" s="600"/>
      <c r="C2470" s="601"/>
      <c r="E2470" s="603"/>
    </row>
    <row r="2471" spans="1:5" x14ac:dyDescent="0.3">
      <c r="A2471" s="599"/>
      <c r="B2471" s="600"/>
      <c r="C2471" s="601"/>
      <c r="E2471" s="603"/>
    </row>
    <row r="2472" spans="1:5" x14ac:dyDescent="0.3">
      <c r="A2472" s="599"/>
      <c r="B2472" s="600"/>
      <c r="C2472" s="601"/>
      <c r="E2472" s="603"/>
    </row>
    <row r="2473" spans="1:5" x14ac:dyDescent="0.3">
      <c r="A2473" s="599"/>
      <c r="B2473" s="600"/>
      <c r="C2473" s="601"/>
      <c r="E2473" s="603"/>
    </row>
    <row r="2474" spans="1:5" x14ac:dyDescent="0.3">
      <c r="A2474" s="599"/>
      <c r="B2474" s="600"/>
      <c r="C2474" s="601"/>
      <c r="E2474" s="603"/>
    </row>
    <row r="2475" spans="1:5" x14ac:dyDescent="0.3">
      <c r="A2475" s="599"/>
      <c r="B2475" s="600"/>
      <c r="C2475" s="601"/>
      <c r="E2475" s="603"/>
    </row>
    <row r="2476" spans="1:5" x14ac:dyDescent="0.3">
      <c r="A2476" s="599"/>
      <c r="B2476" s="600"/>
      <c r="C2476" s="601"/>
      <c r="E2476" s="603"/>
    </row>
    <row r="2477" spans="1:5" x14ac:dyDescent="0.3">
      <c r="A2477" s="599"/>
      <c r="B2477" s="600"/>
      <c r="C2477" s="601"/>
      <c r="E2477" s="603"/>
    </row>
    <row r="2478" spans="1:5" x14ac:dyDescent="0.3">
      <c r="A2478" s="599"/>
      <c r="B2478" s="600"/>
      <c r="C2478" s="601"/>
      <c r="E2478" s="603"/>
    </row>
    <row r="2479" spans="1:5" x14ac:dyDescent="0.3">
      <c r="A2479" s="599"/>
      <c r="B2479" s="600"/>
      <c r="C2479" s="601"/>
      <c r="E2479" s="603"/>
    </row>
    <row r="2480" spans="1:5" x14ac:dyDescent="0.3">
      <c r="A2480" s="599"/>
      <c r="B2480" s="600"/>
      <c r="C2480" s="601"/>
      <c r="E2480" s="603"/>
    </row>
    <row r="2481" spans="1:5" x14ac:dyDescent="0.3">
      <c r="A2481" s="599"/>
      <c r="B2481" s="600"/>
      <c r="C2481" s="601"/>
      <c r="E2481" s="603"/>
    </row>
    <row r="2482" spans="1:5" x14ac:dyDescent="0.3">
      <c r="A2482" s="599"/>
      <c r="B2482" s="600"/>
      <c r="C2482" s="601"/>
      <c r="E2482" s="603"/>
    </row>
    <row r="2483" spans="1:5" x14ac:dyDescent="0.3">
      <c r="A2483" s="599"/>
      <c r="B2483" s="600"/>
      <c r="C2483" s="601"/>
      <c r="E2483" s="603"/>
    </row>
    <row r="2484" spans="1:5" x14ac:dyDescent="0.3">
      <c r="A2484" s="599"/>
      <c r="B2484" s="600"/>
      <c r="C2484" s="601"/>
      <c r="E2484" s="603"/>
    </row>
    <row r="2485" spans="1:5" x14ac:dyDescent="0.3">
      <c r="A2485" s="599"/>
      <c r="B2485" s="600"/>
      <c r="C2485" s="601"/>
      <c r="E2485" s="603"/>
    </row>
    <row r="2486" spans="1:5" x14ac:dyDescent="0.3">
      <c r="A2486" s="599"/>
      <c r="B2486" s="600"/>
      <c r="C2486" s="601"/>
      <c r="E2486" s="603"/>
    </row>
    <row r="2487" spans="1:5" x14ac:dyDescent="0.3">
      <c r="A2487" s="599"/>
      <c r="B2487" s="600"/>
      <c r="C2487" s="601"/>
      <c r="E2487" s="603"/>
    </row>
    <row r="2488" spans="1:5" x14ac:dyDescent="0.3">
      <c r="A2488" s="599"/>
      <c r="B2488" s="600"/>
      <c r="C2488" s="601"/>
      <c r="E2488" s="603"/>
    </row>
    <row r="2489" spans="1:5" x14ac:dyDescent="0.3">
      <c r="A2489" s="599"/>
      <c r="B2489" s="600"/>
      <c r="C2489" s="601"/>
      <c r="E2489" s="603"/>
    </row>
    <row r="2490" spans="1:5" x14ac:dyDescent="0.3">
      <c r="A2490" s="599"/>
      <c r="B2490" s="600"/>
      <c r="C2490" s="601"/>
      <c r="E2490" s="603"/>
    </row>
    <row r="2491" spans="1:5" x14ac:dyDescent="0.3">
      <c r="A2491" s="599"/>
      <c r="B2491" s="600"/>
      <c r="C2491" s="601"/>
      <c r="E2491" s="603"/>
    </row>
    <row r="2492" spans="1:5" x14ac:dyDescent="0.3">
      <c r="A2492" s="599"/>
      <c r="B2492" s="600"/>
      <c r="C2492" s="601"/>
      <c r="E2492" s="603"/>
    </row>
    <row r="2493" spans="1:5" x14ac:dyDescent="0.3">
      <c r="A2493" s="599"/>
      <c r="B2493" s="600"/>
      <c r="C2493" s="601"/>
      <c r="E2493" s="603"/>
    </row>
    <row r="2494" spans="1:5" x14ac:dyDescent="0.3">
      <c r="A2494" s="599"/>
      <c r="B2494" s="600"/>
      <c r="C2494" s="601"/>
      <c r="E2494" s="603"/>
    </row>
    <row r="2495" spans="1:5" x14ac:dyDescent="0.3">
      <c r="A2495" s="599"/>
      <c r="B2495" s="600"/>
      <c r="C2495" s="601"/>
      <c r="E2495" s="603"/>
    </row>
    <row r="2496" spans="1:5" x14ac:dyDescent="0.3">
      <c r="A2496" s="599"/>
      <c r="B2496" s="600"/>
      <c r="C2496" s="601"/>
      <c r="E2496" s="603"/>
    </row>
    <row r="2497" spans="1:5" x14ac:dyDescent="0.3">
      <c r="A2497" s="599"/>
      <c r="B2497" s="600"/>
      <c r="C2497" s="601"/>
      <c r="E2497" s="603"/>
    </row>
    <row r="2498" spans="1:5" x14ac:dyDescent="0.3">
      <c r="A2498" s="599"/>
      <c r="B2498" s="600"/>
      <c r="C2498" s="601"/>
      <c r="E2498" s="603"/>
    </row>
    <row r="2499" spans="1:5" x14ac:dyDescent="0.3">
      <c r="A2499" s="599"/>
      <c r="B2499" s="600"/>
      <c r="C2499" s="601"/>
      <c r="E2499" s="603"/>
    </row>
    <row r="2500" spans="1:5" x14ac:dyDescent="0.3">
      <c r="A2500" s="599"/>
      <c r="B2500" s="600"/>
      <c r="C2500" s="601"/>
      <c r="E2500" s="603"/>
    </row>
    <row r="2501" spans="1:5" x14ac:dyDescent="0.3">
      <c r="A2501" s="599"/>
      <c r="B2501" s="600"/>
      <c r="C2501" s="601"/>
      <c r="E2501" s="603"/>
    </row>
    <row r="2502" spans="1:5" x14ac:dyDescent="0.3">
      <c r="A2502" s="599"/>
      <c r="B2502" s="600"/>
      <c r="C2502" s="601"/>
      <c r="E2502" s="603"/>
    </row>
    <row r="2503" spans="1:5" x14ac:dyDescent="0.3">
      <c r="A2503" s="599"/>
      <c r="B2503" s="600"/>
      <c r="C2503" s="601"/>
      <c r="E2503" s="603"/>
    </row>
    <row r="2504" spans="1:5" x14ac:dyDescent="0.3">
      <c r="A2504" s="599"/>
      <c r="B2504" s="600"/>
      <c r="C2504" s="601"/>
      <c r="E2504" s="603"/>
    </row>
    <row r="2505" spans="1:5" x14ac:dyDescent="0.3">
      <c r="A2505" s="599"/>
      <c r="B2505" s="600"/>
      <c r="C2505" s="601"/>
      <c r="E2505" s="603"/>
    </row>
    <row r="2506" spans="1:5" x14ac:dyDescent="0.3">
      <c r="A2506" s="599"/>
      <c r="B2506" s="600"/>
      <c r="C2506" s="601"/>
      <c r="E2506" s="603"/>
    </row>
    <row r="2507" spans="1:5" x14ac:dyDescent="0.3">
      <c r="A2507" s="599"/>
      <c r="B2507" s="600"/>
      <c r="C2507" s="601"/>
      <c r="E2507" s="603"/>
    </row>
    <row r="2508" spans="1:5" x14ac:dyDescent="0.3">
      <c r="A2508" s="599"/>
      <c r="B2508" s="600"/>
      <c r="C2508" s="601"/>
      <c r="E2508" s="603"/>
    </row>
    <row r="2509" spans="1:5" x14ac:dyDescent="0.3">
      <c r="A2509" s="599"/>
      <c r="B2509" s="600"/>
      <c r="C2509" s="601"/>
      <c r="E2509" s="603"/>
    </row>
    <row r="2510" spans="1:5" x14ac:dyDescent="0.3">
      <c r="A2510" s="599"/>
      <c r="B2510" s="600"/>
      <c r="C2510" s="601"/>
      <c r="E2510" s="603"/>
    </row>
    <row r="2511" spans="1:5" x14ac:dyDescent="0.3">
      <c r="A2511" s="599"/>
      <c r="B2511" s="600"/>
      <c r="C2511" s="601"/>
      <c r="E2511" s="603"/>
    </row>
    <row r="2512" spans="1:5" x14ac:dyDescent="0.3">
      <c r="A2512" s="599"/>
      <c r="B2512" s="600"/>
      <c r="C2512" s="601"/>
      <c r="E2512" s="603"/>
    </row>
    <row r="2513" spans="1:5" x14ac:dyDescent="0.3">
      <c r="A2513" s="599"/>
      <c r="B2513" s="600"/>
      <c r="C2513" s="601"/>
      <c r="E2513" s="603"/>
    </row>
    <row r="2514" spans="1:5" x14ac:dyDescent="0.3">
      <c r="A2514" s="599"/>
      <c r="B2514" s="600"/>
      <c r="C2514" s="601"/>
      <c r="E2514" s="603"/>
    </row>
    <row r="2515" spans="1:5" x14ac:dyDescent="0.3">
      <c r="A2515" s="599"/>
      <c r="B2515" s="600"/>
      <c r="C2515" s="601"/>
      <c r="E2515" s="603"/>
    </row>
    <row r="2516" spans="1:5" x14ac:dyDescent="0.3">
      <c r="A2516" s="599"/>
      <c r="B2516" s="600"/>
      <c r="C2516" s="601"/>
      <c r="E2516" s="603"/>
    </row>
    <row r="2517" spans="1:5" x14ac:dyDescent="0.3">
      <c r="A2517" s="599"/>
      <c r="B2517" s="600"/>
      <c r="C2517" s="601"/>
      <c r="E2517" s="603"/>
    </row>
    <row r="2518" spans="1:5" x14ac:dyDescent="0.3">
      <c r="A2518" s="599"/>
      <c r="B2518" s="600"/>
      <c r="C2518" s="601"/>
      <c r="E2518" s="603"/>
    </row>
    <row r="2519" spans="1:5" x14ac:dyDescent="0.3">
      <c r="A2519" s="599"/>
      <c r="B2519" s="600"/>
      <c r="C2519" s="601"/>
      <c r="E2519" s="603"/>
    </row>
    <row r="2520" spans="1:5" x14ac:dyDescent="0.3">
      <c r="A2520" s="599"/>
      <c r="B2520" s="600"/>
      <c r="C2520" s="601"/>
      <c r="E2520" s="603"/>
    </row>
    <row r="2521" spans="1:5" x14ac:dyDescent="0.3">
      <c r="A2521" s="599"/>
      <c r="B2521" s="600"/>
      <c r="C2521" s="601"/>
      <c r="E2521" s="603"/>
    </row>
    <row r="2522" spans="1:5" x14ac:dyDescent="0.3">
      <c r="A2522" s="599"/>
      <c r="B2522" s="600"/>
      <c r="C2522" s="601"/>
      <c r="E2522" s="603"/>
    </row>
    <row r="2523" spans="1:5" x14ac:dyDescent="0.3">
      <c r="A2523" s="599"/>
      <c r="B2523" s="600"/>
      <c r="C2523" s="601"/>
      <c r="E2523" s="603"/>
    </row>
    <row r="2524" spans="1:5" x14ac:dyDescent="0.3">
      <c r="A2524" s="599"/>
      <c r="B2524" s="600"/>
      <c r="C2524" s="601"/>
      <c r="E2524" s="603"/>
    </row>
    <row r="2525" spans="1:5" x14ac:dyDescent="0.3">
      <c r="A2525" s="599"/>
      <c r="B2525" s="600"/>
      <c r="C2525" s="601"/>
      <c r="E2525" s="603"/>
    </row>
    <row r="2526" spans="1:5" x14ac:dyDescent="0.3">
      <c r="A2526" s="599"/>
      <c r="B2526" s="600"/>
      <c r="C2526" s="601"/>
      <c r="E2526" s="603"/>
    </row>
    <row r="2527" spans="1:5" x14ac:dyDescent="0.3">
      <c r="A2527" s="599"/>
      <c r="B2527" s="600"/>
      <c r="C2527" s="601"/>
      <c r="E2527" s="603"/>
    </row>
    <row r="2528" spans="1:5" x14ac:dyDescent="0.3">
      <c r="A2528" s="599"/>
      <c r="B2528" s="600"/>
      <c r="C2528" s="601"/>
      <c r="E2528" s="603"/>
    </row>
    <row r="2529" spans="1:5" x14ac:dyDescent="0.3">
      <c r="A2529" s="599"/>
      <c r="B2529" s="600"/>
      <c r="C2529" s="601"/>
      <c r="E2529" s="603"/>
    </row>
    <row r="2530" spans="1:5" x14ac:dyDescent="0.3">
      <c r="A2530" s="599"/>
      <c r="B2530" s="600"/>
      <c r="C2530" s="601"/>
      <c r="E2530" s="603"/>
    </row>
    <row r="2531" spans="1:5" x14ac:dyDescent="0.3">
      <c r="A2531" s="599"/>
      <c r="B2531" s="600"/>
      <c r="C2531" s="601"/>
      <c r="E2531" s="603"/>
    </row>
    <row r="2532" spans="1:5" x14ac:dyDescent="0.3">
      <c r="A2532" s="599"/>
      <c r="B2532" s="600"/>
      <c r="C2532" s="601"/>
      <c r="E2532" s="603"/>
    </row>
    <row r="2533" spans="1:5" x14ac:dyDescent="0.3">
      <c r="A2533" s="599"/>
      <c r="B2533" s="600"/>
      <c r="C2533" s="601"/>
      <c r="E2533" s="603"/>
    </row>
    <row r="2534" spans="1:5" x14ac:dyDescent="0.3">
      <c r="A2534" s="599"/>
      <c r="B2534" s="600"/>
      <c r="C2534" s="601"/>
      <c r="E2534" s="603"/>
    </row>
    <row r="2535" spans="1:5" x14ac:dyDescent="0.3">
      <c r="A2535" s="599"/>
      <c r="B2535" s="600"/>
      <c r="C2535" s="601"/>
      <c r="E2535" s="603"/>
    </row>
    <row r="2536" spans="1:5" x14ac:dyDescent="0.3">
      <c r="A2536" s="599"/>
      <c r="B2536" s="600"/>
      <c r="C2536" s="601"/>
      <c r="E2536" s="603"/>
    </row>
    <row r="2537" spans="1:5" x14ac:dyDescent="0.3">
      <c r="A2537" s="599"/>
      <c r="B2537" s="600"/>
      <c r="C2537" s="601"/>
      <c r="E2537" s="603"/>
    </row>
    <row r="2538" spans="1:5" x14ac:dyDescent="0.3">
      <c r="A2538" s="599"/>
      <c r="B2538" s="600"/>
      <c r="C2538" s="601"/>
      <c r="E2538" s="603"/>
    </row>
    <row r="2539" spans="1:5" x14ac:dyDescent="0.3">
      <c r="A2539" s="599"/>
      <c r="B2539" s="600"/>
      <c r="C2539" s="601"/>
      <c r="E2539" s="603"/>
    </row>
    <row r="2540" spans="1:5" x14ac:dyDescent="0.3">
      <c r="A2540" s="599"/>
      <c r="B2540" s="600"/>
      <c r="C2540" s="601"/>
      <c r="E2540" s="603"/>
    </row>
    <row r="2541" spans="1:5" x14ac:dyDescent="0.3">
      <c r="A2541" s="599"/>
      <c r="B2541" s="600"/>
      <c r="C2541" s="601"/>
      <c r="E2541" s="603"/>
    </row>
    <row r="2542" spans="1:5" x14ac:dyDescent="0.3">
      <c r="A2542" s="599"/>
      <c r="B2542" s="600"/>
      <c r="C2542" s="601"/>
      <c r="E2542" s="603"/>
    </row>
    <row r="2543" spans="1:5" x14ac:dyDescent="0.3">
      <c r="A2543" s="599"/>
      <c r="B2543" s="600"/>
      <c r="C2543" s="601"/>
      <c r="E2543" s="603"/>
    </row>
    <row r="2544" spans="1:5" x14ac:dyDescent="0.3">
      <c r="A2544" s="599"/>
      <c r="B2544" s="600"/>
      <c r="C2544" s="601"/>
      <c r="E2544" s="603"/>
    </row>
    <row r="2545" spans="1:5" x14ac:dyDescent="0.3">
      <c r="A2545" s="599"/>
      <c r="B2545" s="600"/>
      <c r="C2545" s="601"/>
      <c r="E2545" s="603"/>
    </row>
    <row r="2546" spans="1:5" x14ac:dyDescent="0.3">
      <c r="A2546" s="599"/>
      <c r="B2546" s="600"/>
      <c r="C2546" s="601"/>
      <c r="E2546" s="603"/>
    </row>
    <row r="2547" spans="1:5" x14ac:dyDescent="0.3">
      <c r="A2547" s="599"/>
      <c r="B2547" s="600"/>
      <c r="C2547" s="601"/>
      <c r="E2547" s="603"/>
    </row>
    <row r="2548" spans="1:5" x14ac:dyDescent="0.3">
      <c r="A2548" s="599"/>
      <c r="B2548" s="600"/>
      <c r="C2548" s="601"/>
      <c r="E2548" s="603"/>
    </row>
    <row r="2549" spans="1:5" x14ac:dyDescent="0.3">
      <c r="A2549" s="599"/>
      <c r="B2549" s="600"/>
      <c r="C2549" s="601"/>
      <c r="E2549" s="603"/>
    </row>
    <row r="2550" spans="1:5" x14ac:dyDescent="0.3">
      <c r="A2550" s="599"/>
      <c r="B2550" s="600"/>
      <c r="C2550" s="601"/>
      <c r="E2550" s="603"/>
    </row>
    <row r="2551" spans="1:5" x14ac:dyDescent="0.3">
      <c r="A2551" s="599"/>
      <c r="B2551" s="600"/>
      <c r="C2551" s="601"/>
      <c r="E2551" s="603"/>
    </row>
    <row r="2552" spans="1:5" x14ac:dyDescent="0.3">
      <c r="A2552" s="599"/>
      <c r="B2552" s="600"/>
      <c r="C2552" s="601"/>
      <c r="E2552" s="603"/>
    </row>
    <row r="2553" spans="1:5" x14ac:dyDescent="0.3">
      <c r="A2553" s="599"/>
      <c r="B2553" s="600"/>
      <c r="C2553" s="601"/>
      <c r="E2553" s="603"/>
    </row>
    <row r="2554" spans="1:5" x14ac:dyDescent="0.3">
      <c r="A2554" s="599"/>
      <c r="B2554" s="600"/>
      <c r="C2554" s="601"/>
      <c r="E2554" s="603"/>
    </row>
    <row r="2555" spans="1:5" x14ac:dyDescent="0.3">
      <c r="A2555" s="599"/>
      <c r="B2555" s="600"/>
      <c r="C2555" s="601"/>
      <c r="E2555" s="603"/>
    </row>
    <row r="2556" spans="1:5" x14ac:dyDescent="0.3">
      <c r="A2556" s="599"/>
      <c r="B2556" s="600"/>
      <c r="C2556" s="601"/>
      <c r="E2556" s="603"/>
    </row>
    <row r="2557" spans="1:5" x14ac:dyDescent="0.3">
      <c r="A2557" s="599"/>
      <c r="B2557" s="600"/>
      <c r="C2557" s="601"/>
      <c r="E2557" s="603"/>
    </row>
    <row r="2558" spans="1:5" x14ac:dyDescent="0.3">
      <c r="A2558" s="599"/>
      <c r="B2558" s="600"/>
      <c r="C2558" s="601"/>
      <c r="E2558" s="603"/>
    </row>
    <row r="2559" spans="1:5" x14ac:dyDescent="0.3">
      <c r="A2559" s="599"/>
      <c r="B2559" s="600"/>
      <c r="C2559" s="601"/>
      <c r="E2559" s="603"/>
    </row>
    <row r="2560" spans="1:5" x14ac:dyDescent="0.3">
      <c r="A2560" s="599"/>
      <c r="B2560" s="600"/>
      <c r="C2560" s="601"/>
      <c r="E2560" s="603"/>
    </row>
    <row r="2561" spans="1:5" x14ac:dyDescent="0.3">
      <c r="A2561" s="599"/>
      <c r="B2561" s="600"/>
      <c r="C2561" s="601"/>
      <c r="E2561" s="603"/>
    </row>
    <row r="2562" spans="1:5" x14ac:dyDescent="0.3">
      <c r="A2562" s="599"/>
      <c r="B2562" s="600"/>
      <c r="C2562" s="601"/>
      <c r="E2562" s="603"/>
    </row>
    <row r="2563" spans="1:5" x14ac:dyDescent="0.3">
      <c r="A2563" s="599"/>
      <c r="B2563" s="600"/>
      <c r="C2563" s="601"/>
      <c r="E2563" s="603"/>
    </row>
    <row r="2564" spans="1:5" x14ac:dyDescent="0.3">
      <c r="A2564" s="599"/>
      <c r="B2564" s="600"/>
      <c r="C2564" s="601"/>
      <c r="E2564" s="603"/>
    </row>
    <row r="2565" spans="1:5" x14ac:dyDescent="0.3">
      <c r="A2565" s="599"/>
      <c r="B2565" s="600"/>
      <c r="C2565" s="601"/>
      <c r="E2565" s="603"/>
    </row>
    <row r="2566" spans="1:5" x14ac:dyDescent="0.3">
      <c r="A2566" s="599"/>
      <c r="B2566" s="600"/>
      <c r="C2566" s="601"/>
      <c r="E2566" s="603"/>
    </row>
    <row r="2567" spans="1:5" x14ac:dyDescent="0.3">
      <c r="A2567" s="599"/>
      <c r="B2567" s="600"/>
      <c r="C2567" s="601"/>
      <c r="E2567" s="603"/>
    </row>
    <row r="2568" spans="1:5" x14ac:dyDescent="0.3">
      <c r="A2568" s="599"/>
      <c r="B2568" s="600"/>
      <c r="C2568" s="601"/>
      <c r="E2568" s="603"/>
    </row>
    <row r="2569" spans="1:5" x14ac:dyDescent="0.3">
      <c r="A2569" s="599"/>
      <c r="B2569" s="600"/>
      <c r="C2569" s="601"/>
      <c r="E2569" s="603"/>
    </row>
    <row r="2570" spans="1:5" x14ac:dyDescent="0.3">
      <c r="A2570" s="599"/>
      <c r="B2570" s="600"/>
      <c r="C2570" s="601"/>
      <c r="E2570" s="603"/>
    </row>
    <row r="2571" spans="1:5" x14ac:dyDescent="0.3">
      <c r="A2571" s="599"/>
      <c r="B2571" s="600"/>
      <c r="C2571" s="601"/>
      <c r="E2571" s="603"/>
    </row>
    <row r="2572" spans="1:5" x14ac:dyDescent="0.3">
      <c r="A2572" s="599"/>
      <c r="B2572" s="600"/>
      <c r="C2572" s="601"/>
      <c r="E2572" s="603"/>
    </row>
    <row r="2573" spans="1:5" x14ac:dyDescent="0.3">
      <c r="A2573" s="599"/>
      <c r="B2573" s="600"/>
      <c r="C2573" s="601"/>
      <c r="E2573" s="603"/>
    </row>
    <row r="2574" spans="1:5" x14ac:dyDescent="0.3">
      <c r="A2574" s="599"/>
      <c r="B2574" s="600"/>
      <c r="C2574" s="601"/>
      <c r="E2574" s="603"/>
    </row>
    <row r="2575" spans="1:5" x14ac:dyDescent="0.3">
      <c r="A2575" s="599"/>
      <c r="B2575" s="600"/>
      <c r="C2575" s="601"/>
      <c r="E2575" s="603"/>
    </row>
    <row r="2576" spans="1:5" x14ac:dyDescent="0.3">
      <c r="A2576" s="599"/>
      <c r="B2576" s="600"/>
      <c r="C2576" s="601"/>
      <c r="E2576" s="603"/>
    </row>
    <row r="2577" spans="1:5" x14ac:dyDescent="0.3">
      <c r="A2577" s="599"/>
      <c r="B2577" s="600"/>
      <c r="C2577" s="601"/>
      <c r="E2577" s="603"/>
    </row>
    <row r="2578" spans="1:5" x14ac:dyDescent="0.3">
      <c r="A2578" s="599"/>
      <c r="B2578" s="600"/>
      <c r="C2578" s="601"/>
      <c r="E2578" s="603"/>
    </row>
    <row r="2579" spans="1:5" x14ac:dyDescent="0.3">
      <c r="A2579" s="599"/>
      <c r="B2579" s="600"/>
      <c r="C2579" s="601"/>
      <c r="E2579" s="603"/>
    </row>
    <row r="2580" spans="1:5" x14ac:dyDescent="0.3">
      <c r="A2580" s="599"/>
      <c r="B2580" s="600"/>
      <c r="C2580" s="601"/>
      <c r="E2580" s="603"/>
    </row>
    <row r="2581" spans="1:5" x14ac:dyDescent="0.3">
      <c r="A2581" s="599"/>
      <c r="B2581" s="600"/>
      <c r="C2581" s="601"/>
      <c r="E2581" s="603"/>
    </row>
    <row r="2582" spans="1:5" x14ac:dyDescent="0.3">
      <c r="A2582" s="599"/>
      <c r="B2582" s="600"/>
      <c r="C2582" s="601"/>
      <c r="E2582" s="603"/>
    </row>
    <row r="2583" spans="1:5" x14ac:dyDescent="0.3">
      <c r="A2583" s="599"/>
      <c r="B2583" s="600"/>
      <c r="C2583" s="601"/>
      <c r="E2583" s="603"/>
    </row>
    <row r="2584" spans="1:5" x14ac:dyDescent="0.3">
      <c r="A2584" s="599"/>
      <c r="B2584" s="600"/>
      <c r="C2584" s="601"/>
      <c r="E2584" s="603"/>
    </row>
    <row r="2585" spans="1:5" x14ac:dyDescent="0.3">
      <c r="A2585" s="599"/>
      <c r="B2585" s="600"/>
      <c r="C2585" s="601"/>
      <c r="E2585" s="603"/>
    </row>
    <row r="2586" spans="1:5" x14ac:dyDescent="0.3">
      <c r="A2586" s="599"/>
      <c r="B2586" s="600"/>
      <c r="C2586" s="601"/>
      <c r="E2586" s="603"/>
    </row>
    <row r="2587" spans="1:5" x14ac:dyDescent="0.3">
      <c r="A2587" s="599"/>
      <c r="B2587" s="600"/>
      <c r="C2587" s="601"/>
      <c r="E2587" s="603"/>
    </row>
    <row r="2588" spans="1:5" x14ac:dyDescent="0.3">
      <c r="A2588" s="599"/>
      <c r="B2588" s="600"/>
      <c r="C2588" s="601"/>
      <c r="E2588" s="603"/>
    </row>
    <row r="2589" spans="1:5" x14ac:dyDescent="0.3">
      <c r="A2589" s="599"/>
      <c r="B2589" s="600"/>
      <c r="C2589" s="601"/>
      <c r="E2589" s="603"/>
    </row>
    <row r="2590" spans="1:5" x14ac:dyDescent="0.3">
      <c r="A2590" s="599"/>
      <c r="B2590" s="600"/>
      <c r="C2590" s="601"/>
      <c r="E2590" s="603"/>
    </row>
    <row r="2591" spans="1:5" x14ac:dyDescent="0.3">
      <c r="A2591" s="599"/>
      <c r="B2591" s="600"/>
      <c r="C2591" s="601"/>
      <c r="E2591" s="603"/>
    </row>
    <row r="2592" spans="1:5" x14ac:dyDescent="0.3">
      <c r="A2592" s="599"/>
      <c r="B2592" s="600"/>
      <c r="C2592" s="601"/>
      <c r="E2592" s="603"/>
    </row>
    <row r="2593" spans="1:5" x14ac:dyDescent="0.3">
      <c r="A2593" s="599"/>
      <c r="B2593" s="600"/>
      <c r="C2593" s="601"/>
      <c r="E2593" s="603"/>
    </row>
    <row r="2594" spans="1:5" x14ac:dyDescent="0.3">
      <c r="A2594" s="599"/>
      <c r="B2594" s="600"/>
      <c r="C2594" s="601"/>
      <c r="E2594" s="603"/>
    </row>
    <row r="2595" spans="1:5" x14ac:dyDescent="0.3">
      <c r="A2595" s="599"/>
      <c r="B2595" s="600"/>
      <c r="C2595" s="601"/>
      <c r="E2595" s="603"/>
    </row>
    <row r="2596" spans="1:5" x14ac:dyDescent="0.3">
      <c r="A2596" s="599"/>
      <c r="B2596" s="600"/>
      <c r="C2596" s="601"/>
      <c r="E2596" s="603"/>
    </row>
    <row r="2597" spans="1:5" x14ac:dyDescent="0.3">
      <c r="A2597" s="599"/>
      <c r="B2597" s="600"/>
      <c r="C2597" s="601"/>
      <c r="E2597" s="603"/>
    </row>
    <row r="2598" spans="1:5" x14ac:dyDescent="0.3">
      <c r="A2598" s="599"/>
      <c r="B2598" s="600"/>
      <c r="C2598" s="601"/>
      <c r="E2598" s="603"/>
    </row>
    <row r="2599" spans="1:5" x14ac:dyDescent="0.3">
      <c r="A2599" s="599"/>
      <c r="B2599" s="600"/>
      <c r="C2599" s="601"/>
      <c r="E2599" s="603"/>
    </row>
    <row r="2600" spans="1:5" x14ac:dyDescent="0.3">
      <c r="A2600" s="599"/>
      <c r="B2600" s="600"/>
      <c r="C2600" s="601"/>
      <c r="E2600" s="603"/>
    </row>
    <row r="2601" spans="1:5" x14ac:dyDescent="0.3">
      <c r="A2601" s="599"/>
      <c r="B2601" s="600"/>
      <c r="C2601" s="601"/>
      <c r="E2601" s="603"/>
    </row>
    <row r="2602" spans="1:5" x14ac:dyDescent="0.3">
      <c r="A2602" s="599"/>
      <c r="B2602" s="600"/>
      <c r="C2602" s="601"/>
      <c r="E2602" s="603"/>
    </row>
    <row r="2603" spans="1:5" x14ac:dyDescent="0.3">
      <c r="A2603" s="599"/>
      <c r="B2603" s="600"/>
      <c r="C2603" s="601"/>
      <c r="E2603" s="603"/>
    </row>
    <row r="2604" spans="1:5" x14ac:dyDescent="0.3">
      <c r="A2604" s="599"/>
      <c r="B2604" s="600"/>
      <c r="C2604" s="601"/>
      <c r="E2604" s="603"/>
    </row>
    <row r="2605" spans="1:5" x14ac:dyDescent="0.3">
      <c r="A2605" s="599"/>
      <c r="B2605" s="600"/>
      <c r="C2605" s="601"/>
      <c r="E2605" s="603"/>
    </row>
    <row r="2606" spans="1:5" x14ac:dyDescent="0.3">
      <c r="A2606" s="599"/>
      <c r="B2606" s="600"/>
      <c r="C2606" s="601"/>
      <c r="E2606" s="603"/>
    </row>
    <row r="2607" spans="1:5" x14ac:dyDescent="0.3">
      <c r="A2607" s="599"/>
      <c r="B2607" s="600"/>
      <c r="C2607" s="601"/>
      <c r="E2607" s="603"/>
    </row>
    <row r="2608" spans="1:5" x14ac:dyDescent="0.3">
      <c r="A2608" s="599"/>
      <c r="B2608" s="600"/>
      <c r="C2608" s="601"/>
      <c r="E2608" s="603"/>
    </row>
    <row r="2609" spans="1:5" x14ac:dyDescent="0.3">
      <c r="A2609" s="599"/>
      <c r="B2609" s="600"/>
      <c r="C2609" s="601"/>
      <c r="E2609" s="603"/>
    </row>
    <row r="2610" spans="1:5" x14ac:dyDescent="0.3">
      <c r="A2610" s="599"/>
      <c r="B2610" s="600"/>
      <c r="C2610" s="601"/>
      <c r="E2610" s="603"/>
    </row>
    <row r="2611" spans="1:5" x14ac:dyDescent="0.3">
      <c r="A2611" s="599"/>
      <c r="B2611" s="600"/>
      <c r="C2611" s="601"/>
      <c r="E2611" s="603"/>
    </row>
    <row r="2612" spans="1:5" x14ac:dyDescent="0.3">
      <c r="A2612" s="599"/>
      <c r="B2612" s="600"/>
      <c r="C2612" s="601"/>
      <c r="E2612" s="603"/>
    </row>
    <row r="2613" spans="1:5" x14ac:dyDescent="0.3">
      <c r="A2613" s="599"/>
      <c r="B2613" s="600"/>
      <c r="C2613" s="601"/>
      <c r="E2613" s="603"/>
    </row>
    <row r="2614" spans="1:5" x14ac:dyDescent="0.3">
      <c r="A2614" s="599"/>
      <c r="B2614" s="600"/>
      <c r="C2614" s="601"/>
      <c r="E2614" s="603"/>
    </row>
    <row r="2615" spans="1:5" x14ac:dyDescent="0.3">
      <c r="A2615" s="599"/>
      <c r="B2615" s="600"/>
      <c r="C2615" s="601"/>
      <c r="E2615" s="603"/>
    </row>
    <row r="2616" spans="1:5" x14ac:dyDescent="0.3">
      <c r="A2616" s="599"/>
      <c r="B2616" s="600"/>
      <c r="C2616" s="601"/>
      <c r="E2616" s="603"/>
    </row>
    <row r="2617" spans="1:5" x14ac:dyDescent="0.3">
      <c r="A2617" s="599"/>
      <c r="B2617" s="600"/>
      <c r="C2617" s="601"/>
      <c r="E2617" s="603"/>
    </row>
    <row r="2618" spans="1:5" x14ac:dyDescent="0.3">
      <c r="A2618" s="599"/>
      <c r="B2618" s="600"/>
      <c r="C2618" s="601"/>
      <c r="E2618" s="603"/>
    </row>
    <row r="2619" spans="1:5" x14ac:dyDescent="0.3">
      <c r="A2619" s="599"/>
      <c r="B2619" s="600"/>
      <c r="C2619" s="601"/>
      <c r="E2619" s="603"/>
    </row>
    <row r="2620" spans="1:5" x14ac:dyDescent="0.3">
      <c r="A2620" s="599"/>
      <c r="B2620" s="600"/>
      <c r="C2620" s="601"/>
      <c r="E2620" s="603"/>
    </row>
    <row r="2621" spans="1:5" x14ac:dyDescent="0.3">
      <c r="A2621" s="599"/>
      <c r="B2621" s="600"/>
      <c r="C2621" s="601"/>
      <c r="E2621" s="603"/>
    </row>
    <row r="2622" spans="1:5" x14ac:dyDescent="0.3">
      <c r="A2622" s="599"/>
      <c r="B2622" s="600"/>
      <c r="C2622" s="601"/>
      <c r="E2622" s="603"/>
    </row>
    <row r="2623" spans="1:5" x14ac:dyDescent="0.3">
      <c r="A2623" s="599"/>
      <c r="B2623" s="600"/>
      <c r="C2623" s="601"/>
      <c r="E2623" s="603"/>
    </row>
    <row r="2624" spans="1:5" x14ac:dyDescent="0.3">
      <c r="A2624" s="599"/>
      <c r="B2624" s="600"/>
      <c r="C2624" s="601"/>
      <c r="E2624" s="603"/>
    </row>
    <row r="2625" spans="1:5" x14ac:dyDescent="0.3">
      <c r="A2625" s="599"/>
      <c r="B2625" s="600"/>
      <c r="C2625" s="601"/>
      <c r="E2625" s="603"/>
    </row>
    <row r="2626" spans="1:5" x14ac:dyDescent="0.3">
      <c r="A2626" s="599"/>
      <c r="B2626" s="600"/>
      <c r="C2626" s="601"/>
      <c r="E2626" s="603"/>
    </row>
    <row r="2627" spans="1:5" x14ac:dyDescent="0.3">
      <c r="A2627" s="599"/>
      <c r="B2627" s="600"/>
      <c r="C2627" s="601"/>
      <c r="E2627" s="603"/>
    </row>
    <row r="2628" spans="1:5" x14ac:dyDescent="0.3">
      <c r="A2628" s="599"/>
      <c r="B2628" s="600"/>
      <c r="C2628" s="601"/>
      <c r="E2628" s="603"/>
    </row>
    <row r="2629" spans="1:5" x14ac:dyDescent="0.3">
      <c r="A2629" s="599"/>
      <c r="B2629" s="600"/>
      <c r="C2629" s="601"/>
      <c r="E2629" s="603"/>
    </row>
    <row r="2630" spans="1:5" x14ac:dyDescent="0.3">
      <c r="A2630" s="599"/>
      <c r="B2630" s="600"/>
      <c r="C2630" s="601"/>
      <c r="E2630" s="603"/>
    </row>
    <row r="2631" spans="1:5" x14ac:dyDescent="0.3">
      <c r="A2631" s="599"/>
      <c r="B2631" s="600"/>
      <c r="C2631" s="601"/>
      <c r="E2631" s="603"/>
    </row>
    <row r="2632" spans="1:5" x14ac:dyDescent="0.3">
      <c r="A2632" s="599"/>
      <c r="B2632" s="600"/>
      <c r="C2632" s="601"/>
      <c r="E2632" s="603"/>
    </row>
    <row r="2633" spans="1:5" x14ac:dyDescent="0.3">
      <c r="A2633" s="599"/>
      <c r="B2633" s="600"/>
      <c r="C2633" s="601"/>
      <c r="E2633" s="603"/>
    </row>
    <row r="2634" spans="1:5" x14ac:dyDescent="0.3">
      <c r="A2634" s="599"/>
      <c r="B2634" s="600"/>
      <c r="C2634" s="601"/>
      <c r="E2634" s="603"/>
    </row>
    <row r="2635" spans="1:5" x14ac:dyDescent="0.3">
      <c r="A2635" s="599"/>
      <c r="B2635" s="600"/>
      <c r="C2635" s="601"/>
      <c r="E2635" s="603"/>
    </row>
    <row r="2636" spans="1:5" x14ac:dyDescent="0.3">
      <c r="A2636" s="599"/>
      <c r="B2636" s="600"/>
      <c r="C2636" s="601"/>
      <c r="E2636" s="603"/>
    </row>
    <row r="2637" spans="1:5" x14ac:dyDescent="0.3">
      <c r="A2637" s="599"/>
      <c r="B2637" s="600"/>
      <c r="C2637" s="601"/>
      <c r="E2637" s="603"/>
    </row>
    <row r="2638" spans="1:5" x14ac:dyDescent="0.3">
      <c r="A2638" s="599"/>
      <c r="B2638" s="600"/>
      <c r="C2638" s="601"/>
      <c r="E2638" s="603"/>
    </row>
    <row r="2639" spans="1:5" x14ac:dyDescent="0.3">
      <c r="A2639" s="599"/>
      <c r="B2639" s="600"/>
      <c r="C2639" s="601"/>
      <c r="E2639" s="603"/>
    </row>
    <row r="2640" spans="1:5" x14ac:dyDescent="0.3">
      <c r="A2640" s="599"/>
      <c r="B2640" s="600"/>
      <c r="C2640" s="601"/>
      <c r="E2640" s="603"/>
    </row>
    <row r="2641" spans="1:5" x14ac:dyDescent="0.3">
      <c r="A2641" s="599"/>
      <c r="B2641" s="600"/>
      <c r="C2641" s="601"/>
      <c r="E2641" s="603"/>
    </row>
    <row r="2642" spans="1:5" x14ac:dyDescent="0.3">
      <c r="A2642" s="599"/>
      <c r="B2642" s="600"/>
      <c r="C2642" s="601"/>
      <c r="E2642" s="603"/>
    </row>
    <row r="2643" spans="1:5" x14ac:dyDescent="0.3">
      <c r="A2643" s="599"/>
      <c r="B2643" s="600"/>
      <c r="C2643" s="601"/>
      <c r="E2643" s="603"/>
    </row>
    <row r="2644" spans="1:5" x14ac:dyDescent="0.3">
      <c r="A2644" s="599"/>
      <c r="B2644" s="600"/>
      <c r="C2644" s="601"/>
      <c r="E2644" s="603"/>
    </row>
    <row r="2645" spans="1:5" x14ac:dyDescent="0.3">
      <c r="A2645" s="599"/>
      <c r="B2645" s="600"/>
      <c r="C2645" s="601"/>
      <c r="E2645" s="603"/>
    </row>
    <row r="2646" spans="1:5" x14ac:dyDescent="0.3">
      <c r="A2646" s="599"/>
      <c r="B2646" s="600"/>
      <c r="C2646" s="601"/>
      <c r="E2646" s="603"/>
    </row>
    <row r="2647" spans="1:5" x14ac:dyDescent="0.3">
      <c r="A2647" s="599"/>
      <c r="B2647" s="600"/>
      <c r="C2647" s="601"/>
      <c r="E2647" s="603"/>
    </row>
    <row r="2648" spans="1:5" x14ac:dyDescent="0.3">
      <c r="A2648" s="599"/>
      <c r="B2648" s="600"/>
      <c r="C2648" s="601"/>
      <c r="E2648" s="603"/>
    </row>
    <row r="2649" spans="1:5" x14ac:dyDescent="0.3">
      <c r="A2649" s="599"/>
      <c r="B2649" s="600"/>
      <c r="C2649" s="601"/>
      <c r="E2649" s="603"/>
    </row>
    <row r="2650" spans="1:5" x14ac:dyDescent="0.3">
      <c r="A2650" s="599"/>
      <c r="B2650" s="600"/>
      <c r="C2650" s="601"/>
      <c r="E2650" s="603"/>
    </row>
    <row r="2651" spans="1:5" x14ac:dyDescent="0.3">
      <c r="A2651" s="599"/>
      <c r="B2651" s="600"/>
      <c r="C2651" s="601"/>
      <c r="E2651" s="603"/>
    </row>
    <row r="2652" spans="1:5" x14ac:dyDescent="0.3">
      <c r="A2652" s="599"/>
      <c r="B2652" s="600"/>
      <c r="C2652" s="601"/>
      <c r="E2652" s="603"/>
    </row>
    <row r="2653" spans="1:5" x14ac:dyDescent="0.3">
      <c r="A2653" s="599"/>
      <c r="B2653" s="600"/>
      <c r="C2653" s="601"/>
      <c r="E2653" s="603"/>
    </row>
    <row r="2654" spans="1:5" x14ac:dyDescent="0.3">
      <c r="A2654" s="599"/>
      <c r="B2654" s="600"/>
      <c r="C2654" s="601"/>
      <c r="E2654" s="603"/>
    </row>
    <row r="2655" spans="1:5" x14ac:dyDescent="0.3">
      <c r="A2655" s="599"/>
      <c r="B2655" s="600"/>
      <c r="C2655" s="601"/>
      <c r="E2655" s="603"/>
    </row>
    <row r="2656" spans="1:5" x14ac:dyDescent="0.3">
      <c r="A2656" s="599"/>
      <c r="B2656" s="600"/>
      <c r="C2656" s="601"/>
      <c r="E2656" s="603"/>
    </row>
    <row r="2657" spans="1:5" x14ac:dyDescent="0.3">
      <c r="A2657" s="599"/>
      <c r="B2657" s="600"/>
      <c r="C2657" s="601"/>
      <c r="E2657" s="603"/>
    </row>
    <row r="2658" spans="1:5" x14ac:dyDescent="0.3">
      <c r="A2658" s="599"/>
      <c r="B2658" s="600"/>
      <c r="C2658" s="601"/>
      <c r="E2658" s="603"/>
    </row>
    <row r="2659" spans="1:5" x14ac:dyDescent="0.3">
      <c r="A2659" s="599"/>
      <c r="B2659" s="600"/>
      <c r="C2659" s="601"/>
      <c r="E2659" s="603"/>
    </row>
    <row r="2660" spans="1:5" x14ac:dyDescent="0.3">
      <c r="A2660" s="599"/>
      <c r="B2660" s="600"/>
      <c r="C2660" s="601"/>
      <c r="E2660" s="603"/>
    </row>
    <row r="2661" spans="1:5" x14ac:dyDescent="0.3">
      <c r="A2661" s="599"/>
      <c r="B2661" s="600"/>
      <c r="C2661" s="601"/>
      <c r="E2661" s="603"/>
    </row>
    <row r="2662" spans="1:5" x14ac:dyDescent="0.3">
      <c r="A2662" s="599"/>
      <c r="B2662" s="600"/>
      <c r="C2662" s="601"/>
      <c r="E2662" s="603"/>
    </row>
    <row r="2663" spans="1:5" x14ac:dyDescent="0.3">
      <c r="A2663" s="599"/>
      <c r="B2663" s="600"/>
      <c r="C2663" s="601"/>
      <c r="E2663" s="603"/>
    </row>
    <row r="2664" spans="1:5" x14ac:dyDescent="0.3">
      <c r="A2664" s="599"/>
      <c r="B2664" s="600"/>
      <c r="C2664" s="601"/>
      <c r="E2664" s="603"/>
    </row>
    <row r="2665" spans="1:5" x14ac:dyDescent="0.3">
      <c r="A2665" s="599"/>
      <c r="B2665" s="600"/>
      <c r="C2665" s="601"/>
      <c r="E2665" s="603"/>
    </row>
    <row r="2666" spans="1:5" x14ac:dyDescent="0.3">
      <c r="A2666" s="599"/>
      <c r="B2666" s="600"/>
      <c r="C2666" s="601"/>
      <c r="E2666" s="603"/>
    </row>
    <row r="2667" spans="1:5" x14ac:dyDescent="0.3">
      <c r="A2667" s="599"/>
      <c r="B2667" s="600"/>
      <c r="C2667" s="601"/>
      <c r="E2667" s="603"/>
    </row>
    <row r="2668" spans="1:5" x14ac:dyDescent="0.3">
      <c r="A2668" s="599"/>
      <c r="B2668" s="600"/>
      <c r="C2668" s="601"/>
      <c r="E2668" s="603"/>
    </row>
    <row r="2669" spans="1:5" x14ac:dyDescent="0.3">
      <c r="A2669" s="596"/>
      <c r="B2669" s="597"/>
      <c r="C2669" s="598"/>
      <c r="E2669" s="603"/>
    </row>
    <row r="2670" spans="1:5" x14ac:dyDescent="0.3">
      <c r="A2670" s="596"/>
      <c r="B2670" s="597"/>
      <c r="C2670" s="598"/>
    </row>
    <row r="2671" spans="1:5" x14ac:dyDescent="0.3">
      <c r="A2671" s="596"/>
      <c r="B2671" s="597"/>
      <c r="C2671" s="598"/>
    </row>
    <row r="2672" spans="1:5" x14ac:dyDescent="0.3">
      <c r="A2672" s="596"/>
      <c r="B2672" s="597"/>
      <c r="C2672" s="598"/>
    </row>
    <row r="2673" spans="1:4" x14ac:dyDescent="0.3">
      <c r="A2673" s="596"/>
      <c r="B2673" s="597"/>
      <c r="C2673" s="598"/>
    </row>
    <row r="2674" spans="1:4" x14ac:dyDescent="0.3">
      <c r="A2674" s="596"/>
      <c r="B2674" s="597"/>
      <c r="C2674" s="598"/>
    </row>
    <row r="2675" spans="1:4" x14ac:dyDescent="0.3">
      <c r="A2675" s="596"/>
      <c r="B2675" s="597"/>
      <c r="C2675" s="598"/>
    </row>
    <row r="2676" spans="1:4" x14ac:dyDescent="0.3">
      <c r="A2676" s="596"/>
      <c r="B2676" s="597"/>
      <c r="C2676" s="598"/>
    </row>
    <row r="2677" spans="1:4" x14ac:dyDescent="0.3">
      <c r="A2677" s="596"/>
      <c r="B2677" s="597"/>
      <c r="C2677" s="598"/>
    </row>
    <row r="2678" spans="1:4" x14ac:dyDescent="0.3">
      <c r="A2678" s="596"/>
      <c r="B2678" s="597"/>
      <c r="C2678" s="598"/>
    </row>
    <row r="2679" spans="1:4" x14ac:dyDescent="0.3">
      <c r="A2679" s="596"/>
      <c r="B2679" s="597"/>
      <c r="C2679" s="598"/>
    </row>
    <row r="2680" spans="1:4" x14ac:dyDescent="0.3">
      <c r="A2680" s="596"/>
      <c r="B2680" s="597"/>
      <c r="C2680" s="598"/>
    </row>
    <row r="2681" spans="1:4" x14ac:dyDescent="0.3">
      <c r="A2681" s="596"/>
      <c r="B2681" s="597"/>
      <c r="C2681" s="598"/>
    </row>
    <row r="2682" spans="1:4" x14ac:dyDescent="0.3">
      <c r="A2682" s="596"/>
      <c r="B2682" s="597"/>
      <c r="C2682" s="598"/>
    </row>
    <row r="2683" spans="1:4" x14ac:dyDescent="0.3">
      <c r="A2683" s="596"/>
      <c r="B2683" s="597"/>
      <c r="C2683" s="598"/>
    </row>
    <row r="2684" spans="1:4" x14ac:dyDescent="0.3">
      <c r="A2684" s="596"/>
      <c r="B2684" s="597"/>
      <c r="C2684" s="598"/>
    </row>
    <row r="2685" spans="1:4" x14ac:dyDescent="0.3">
      <c r="A2685" s="596"/>
      <c r="B2685" s="597"/>
      <c r="C2685" s="598"/>
    </row>
    <row r="2686" spans="1:4" x14ac:dyDescent="0.3">
      <c r="A2686" s="420"/>
      <c r="D2686" s="420"/>
    </row>
    <row r="2687" spans="1:4" x14ac:dyDescent="0.3">
      <c r="A2687" s="420"/>
      <c r="D2687" s="420"/>
    </row>
  </sheetData>
  <sortState xmlns:xlrd2="http://schemas.microsoft.com/office/spreadsheetml/2017/richdata2" ref="A11:D2313">
    <sortCondition ref="A35"/>
  </sortState>
  <mergeCells count="2">
    <mergeCell ref="A5:C5"/>
    <mergeCell ref="H4:H7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7"/>
  <dimension ref="A2:B11"/>
  <sheetViews>
    <sheetView workbookViewId="0">
      <selection activeCell="A2" sqref="A2:B2"/>
    </sheetView>
  </sheetViews>
  <sheetFormatPr defaultColWidth="9.21875" defaultRowHeight="13.2" x14ac:dyDescent="0.25"/>
  <cols>
    <col min="1" max="1" width="51.21875" style="423" bestFit="1" customWidth="1"/>
    <col min="2" max="16384" width="9.21875" style="423"/>
  </cols>
  <sheetData>
    <row r="2" spans="1:2" x14ac:dyDescent="0.25">
      <c r="A2" s="336" t="s">
        <v>1719</v>
      </c>
      <c r="B2" s="437">
        <v>0.27138800000000002</v>
      </c>
    </row>
    <row r="3" spans="1:2" x14ac:dyDescent="0.25">
      <c r="A3" s="330" t="s">
        <v>396</v>
      </c>
      <c r="B3" s="334">
        <v>9.9839700000000003E-2</v>
      </c>
    </row>
    <row r="4" spans="1:2" x14ac:dyDescent="0.25">
      <c r="A4" s="319" t="s">
        <v>1720</v>
      </c>
      <c r="B4" s="335">
        <v>0.108989</v>
      </c>
    </row>
    <row r="5" spans="1:2" x14ac:dyDescent="0.25">
      <c r="A5" s="330" t="s">
        <v>1721</v>
      </c>
      <c r="B5" s="334">
        <v>1.2999999999999999E-2</v>
      </c>
    </row>
    <row r="6" spans="1:2" x14ac:dyDescent="0.25">
      <c r="A6" s="319" t="s">
        <v>1722</v>
      </c>
      <c r="B6" s="335">
        <v>1.0999999999999999E-2</v>
      </c>
    </row>
    <row r="7" spans="1:2" x14ac:dyDescent="0.25">
      <c r="A7" s="330" t="s">
        <v>1723</v>
      </c>
      <c r="B7" s="334">
        <v>2.15E-3</v>
      </c>
    </row>
    <row r="8" spans="1:2" x14ac:dyDescent="0.25">
      <c r="A8" s="319" t="s">
        <v>1724</v>
      </c>
      <c r="B8" s="335">
        <v>1.44E-2</v>
      </c>
    </row>
    <row r="9" spans="1:2" x14ac:dyDescent="0.25">
      <c r="A9" s="330" t="s">
        <v>1725</v>
      </c>
      <c r="B9" s="334">
        <v>0.47920000000000001</v>
      </c>
    </row>
    <row r="10" spans="1:2" x14ac:dyDescent="0.25">
      <c r="A10" s="438" t="s">
        <v>1726</v>
      </c>
      <c r="B10" s="439">
        <v>1</v>
      </c>
    </row>
    <row r="11" spans="1:2" x14ac:dyDescent="0.25">
      <c r="B11" s="42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4"/>
  <dimension ref="B2:E50"/>
  <sheetViews>
    <sheetView topLeftCell="A10" workbookViewId="0">
      <selection activeCell="C20" sqref="C20:C24"/>
    </sheetView>
  </sheetViews>
  <sheetFormatPr defaultRowHeight="13.2" x14ac:dyDescent="0.25"/>
  <cols>
    <col min="2" max="2" width="44.21875" customWidth="1"/>
    <col min="3" max="3" width="15.21875" customWidth="1"/>
    <col min="4" max="4" width="17.21875" bestFit="1" customWidth="1"/>
    <col min="5" max="5" width="12.77734375" bestFit="1" customWidth="1"/>
  </cols>
  <sheetData>
    <row r="2" spans="2:4" x14ac:dyDescent="0.25">
      <c r="B2" s="336" t="s">
        <v>424</v>
      </c>
      <c r="C2" s="337" t="s">
        <v>425</v>
      </c>
    </row>
    <row r="3" spans="2:4" x14ac:dyDescent="0.25">
      <c r="B3" s="330" t="s">
        <v>395</v>
      </c>
      <c r="C3" s="334">
        <v>0.19689000000000001</v>
      </c>
    </row>
    <row r="4" spans="2:4" x14ac:dyDescent="0.25">
      <c r="B4" s="319" t="s">
        <v>396</v>
      </c>
      <c r="C4" s="335">
        <v>0.15606</v>
      </c>
    </row>
    <row r="5" spans="2:4" x14ac:dyDescent="0.25">
      <c r="B5" s="330" t="s">
        <v>402</v>
      </c>
      <c r="C5" s="334">
        <v>0.15429000000000001</v>
      </c>
    </row>
    <row r="6" spans="2:4" x14ac:dyDescent="0.25">
      <c r="B6" s="319" t="s">
        <v>397</v>
      </c>
      <c r="C6" s="335">
        <v>9.9900000000000003E-2</v>
      </c>
    </row>
    <row r="7" spans="2:4" x14ac:dyDescent="0.25">
      <c r="B7" s="330" t="s">
        <v>398</v>
      </c>
      <c r="C7" s="334">
        <v>7.3499999999999996E-2</v>
      </c>
    </row>
    <row r="8" spans="2:4" x14ac:dyDescent="0.25">
      <c r="B8" s="319" t="s">
        <v>399</v>
      </c>
      <c r="C8" s="335">
        <v>5.0200000000000002E-2</v>
      </c>
    </row>
    <row r="9" spans="2:4" x14ac:dyDescent="0.25">
      <c r="B9" s="330" t="s">
        <v>401</v>
      </c>
      <c r="C9" s="334">
        <v>2.2370000000000001E-2</v>
      </c>
    </row>
    <row r="10" spans="2:4" x14ac:dyDescent="0.25">
      <c r="B10" s="319" t="s">
        <v>400</v>
      </c>
      <c r="C10" s="335">
        <f>1-SUM(C2:C9)</f>
        <v>0.24678999999999995</v>
      </c>
    </row>
    <row r="14" spans="2:4" x14ac:dyDescent="0.25">
      <c r="B14" s="321" t="s">
        <v>407</v>
      </c>
      <c r="C14" s="53"/>
    </row>
    <row r="15" spans="2:4" x14ac:dyDescent="0.25">
      <c r="B15" s="323" t="s">
        <v>2893</v>
      </c>
      <c r="C15" s="443">
        <v>0.14000000000000001</v>
      </c>
      <c r="D15" s="324">
        <v>431905121</v>
      </c>
    </row>
    <row r="16" spans="2:4" x14ac:dyDescent="0.25">
      <c r="B16" s="323" t="s">
        <v>2894</v>
      </c>
      <c r="C16" s="443">
        <v>0.86</v>
      </c>
      <c r="D16" s="324">
        <v>25634347</v>
      </c>
    </row>
    <row r="17" spans="2:4" x14ac:dyDescent="0.25">
      <c r="B17" s="323" t="s">
        <v>406</v>
      </c>
      <c r="C17" s="443">
        <v>0</v>
      </c>
      <c r="D17" s="324">
        <v>1132704</v>
      </c>
    </row>
    <row r="18" spans="2:4" x14ac:dyDescent="0.25">
      <c r="C18" s="444"/>
      <c r="D18" s="320">
        <f>SUM(D15:D17)</f>
        <v>458672172</v>
      </c>
    </row>
    <row r="19" spans="2:4" x14ac:dyDescent="0.25">
      <c r="B19" s="321" t="s">
        <v>408</v>
      </c>
      <c r="C19" s="444"/>
    </row>
    <row r="20" spans="2:4" x14ac:dyDescent="0.25">
      <c r="B20" s="323" t="s">
        <v>409</v>
      </c>
      <c r="C20" s="445">
        <v>0.63</v>
      </c>
      <c r="D20" s="324">
        <v>254719028</v>
      </c>
    </row>
    <row r="21" spans="2:4" x14ac:dyDescent="0.25">
      <c r="B21" s="323" t="s">
        <v>410</v>
      </c>
      <c r="C21" s="445">
        <v>0.15</v>
      </c>
      <c r="D21" s="324">
        <v>34773209</v>
      </c>
    </row>
    <row r="22" spans="2:4" x14ac:dyDescent="0.25">
      <c r="B22" s="323" t="s">
        <v>2895</v>
      </c>
      <c r="C22" s="445">
        <v>0.12</v>
      </c>
      <c r="D22" s="324">
        <v>16347832</v>
      </c>
    </row>
    <row r="23" spans="2:4" x14ac:dyDescent="0.25">
      <c r="B23" s="323" t="s">
        <v>413</v>
      </c>
      <c r="C23" s="445">
        <v>0.06</v>
      </c>
      <c r="D23" s="324"/>
    </row>
    <row r="24" spans="2:4" x14ac:dyDescent="0.25">
      <c r="B24" s="323" t="s">
        <v>11</v>
      </c>
      <c r="C24" s="445">
        <v>0.04</v>
      </c>
      <c r="D24" s="324">
        <v>4004433</v>
      </c>
    </row>
    <row r="25" spans="2:4" x14ac:dyDescent="0.25">
      <c r="C25" s="446"/>
      <c r="D25" s="322">
        <f>SUM(D20:D24)</f>
        <v>309844502</v>
      </c>
    </row>
    <row r="26" spans="2:4" x14ac:dyDescent="0.25">
      <c r="B26" s="325" t="s">
        <v>363</v>
      </c>
      <c r="C26" s="446"/>
    </row>
    <row r="27" spans="2:4" x14ac:dyDescent="0.25">
      <c r="B27" s="323" t="s">
        <v>411</v>
      </c>
      <c r="C27" s="445">
        <f>D27/$D$31</f>
        <v>0.56194280888319759</v>
      </c>
      <c r="D27" s="324">
        <f>3618154+11028193</f>
        <v>14646347</v>
      </c>
    </row>
    <row r="28" spans="2:4" x14ac:dyDescent="0.25">
      <c r="B28" s="323" t="s">
        <v>413</v>
      </c>
      <c r="C28" s="445">
        <f>D28/$D$31</f>
        <v>0.38410992608589822</v>
      </c>
      <c r="D28" s="324">
        <f>2487874+2224267+5299211</f>
        <v>10011352</v>
      </c>
    </row>
    <row r="29" spans="2:4" x14ac:dyDescent="0.25">
      <c r="B29" s="323" t="s">
        <v>11</v>
      </c>
      <c r="C29" s="445">
        <f>D29/$D$31</f>
        <v>3.2178655058623912E-2</v>
      </c>
      <c r="D29" s="324">
        <f>202490+636207</f>
        <v>838697</v>
      </c>
    </row>
    <row r="30" spans="2:4" x14ac:dyDescent="0.25">
      <c r="B30" s="323" t="s">
        <v>412</v>
      </c>
      <c r="C30" s="445">
        <f>D30/$D$31</f>
        <v>2.1768609972280292E-2</v>
      </c>
      <c r="D30" s="324">
        <v>567372</v>
      </c>
    </row>
    <row r="31" spans="2:4" x14ac:dyDescent="0.25">
      <c r="C31" s="446"/>
      <c r="D31" s="322">
        <f>SUM(D27:D30)</f>
        <v>26063768</v>
      </c>
    </row>
    <row r="32" spans="2:4" x14ac:dyDescent="0.25">
      <c r="B32" s="326" t="s">
        <v>414</v>
      </c>
      <c r="C32" s="446"/>
    </row>
    <row r="33" spans="2:5" x14ac:dyDescent="0.25">
      <c r="B33" s="323" t="s">
        <v>2888</v>
      </c>
      <c r="C33" s="613">
        <v>0.185</v>
      </c>
      <c r="D33" s="324">
        <v>69783406</v>
      </c>
    </row>
    <row r="34" spans="2:5" x14ac:dyDescent="0.25">
      <c r="B34" s="323" t="s">
        <v>2889</v>
      </c>
      <c r="C34" s="613">
        <v>0.32600000000000001</v>
      </c>
      <c r="D34" s="324">
        <v>24183677</v>
      </c>
    </row>
    <row r="35" spans="2:5" x14ac:dyDescent="0.25">
      <c r="B35" s="323" t="s">
        <v>2890</v>
      </c>
      <c r="C35" s="613">
        <v>0.3</v>
      </c>
      <c r="D35" s="324">
        <v>23268204</v>
      </c>
    </row>
    <row r="36" spans="2:5" x14ac:dyDescent="0.25">
      <c r="B36" s="323" t="s">
        <v>2891</v>
      </c>
      <c r="C36" s="613">
        <v>0.16400000000000001</v>
      </c>
      <c r="D36" s="324">
        <v>2725776</v>
      </c>
    </row>
    <row r="37" spans="2:5" x14ac:dyDescent="0.25">
      <c r="B37" s="323" t="s">
        <v>2892</v>
      </c>
      <c r="C37" s="613">
        <v>2.1000000000000001E-2</v>
      </c>
      <c r="D37" s="324">
        <v>1540173</v>
      </c>
    </row>
    <row r="38" spans="2:5" x14ac:dyDescent="0.25">
      <c r="B38" s="323" t="s">
        <v>413</v>
      </c>
      <c r="C38" s="613">
        <v>4.0000000000000001E-3</v>
      </c>
      <c r="D38" s="324">
        <v>1517739</v>
      </c>
    </row>
    <row r="39" spans="2:5" x14ac:dyDescent="0.25">
      <c r="D39" s="322">
        <f>SUM(D33:D38)</f>
        <v>123018975</v>
      </c>
    </row>
    <row r="40" spans="2:5" x14ac:dyDescent="0.25">
      <c r="B40" s="325" t="s">
        <v>415</v>
      </c>
    </row>
    <row r="41" spans="2:5" x14ac:dyDescent="0.25">
      <c r="B41" s="323" t="s">
        <v>416</v>
      </c>
      <c r="C41" s="442">
        <f>D41/$D$45</f>
        <v>0.69604744655564821</v>
      </c>
      <c r="D41" s="324">
        <v>151838025</v>
      </c>
    </row>
    <row r="42" spans="2:5" x14ac:dyDescent="0.25">
      <c r="B42" s="323" t="s">
        <v>418</v>
      </c>
      <c r="C42" s="442">
        <f>D42/$D$45</f>
        <v>0.26379109272394452</v>
      </c>
      <c r="D42" s="324">
        <v>57544236</v>
      </c>
    </row>
    <row r="43" spans="2:5" x14ac:dyDescent="0.25">
      <c r="B43" s="323" t="s">
        <v>419</v>
      </c>
      <c r="C43" s="442">
        <f>D43/$D$45</f>
        <v>3.3313871959095714E-2</v>
      </c>
      <c r="D43" s="324">
        <v>7267195</v>
      </c>
    </row>
    <row r="44" spans="2:5" x14ac:dyDescent="0.25">
      <c r="B44" s="323" t="s">
        <v>417</v>
      </c>
      <c r="C44" s="442">
        <f>D44/$D$45</f>
        <v>6.8475887613114851E-3</v>
      </c>
      <c r="D44" s="324">
        <v>1493755</v>
      </c>
    </row>
    <row r="45" spans="2:5" x14ac:dyDescent="0.25">
      <c r="D45" s="322">
        <f>SUM(D41:D44)</f>
        <v>218143211</v>
      </c>
    </row>
    <row r="48" spans="2:5" x14ac:dyDescent="0.25">
      <c r="C48">
        <v>2014</v>
      </c>
      <c r="D48">
        <v>2015</v>
      </c>
      <c r="E48">
        <v>2016</v>
      </c>
    </row>
    <row r="49" spans="2:5" x14ac:dyDescent="0.25">
      <c r="B49" s="323" t="s">
        <v>420</v>
      </c>
      <c r="C49" s="327">
        <v>3732817</v>
      </c>
      <c r="D49" s="327">
        <v>20847496</v>
      </c>
      <c r="E49" s="327">
        <v>7070306</v>
      </c>
    </row>
    <row r="50" spans="2:5" x14ac:dyDescent="0.25">
      <c r="B50" s="323" t="s">
        <v>11</v>
      </c>
      <c r="C50" s="327">
        <v>3960664</v>
      </c>
      <c r="D50" s="327">
        <v>4465098</v>
      </c>
      <c r="E50" s="327">
        <v>4843130</v>
      </c>
    </row>
  </sheetData>
  <sortState xmlns:xlrd2="http://schemas.microsoft.com/office/spreadsheetml/2017/richdata2" ref="B40:D43">
    <sortCondition descending="1" ref="C40:C43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"/>
  <sheetViews>
    <sheetView topLeftCell="D1" workbookViewId="0">
      <selection activeCell="F1" sqref="F1"/>
    </sheetView>
  </sheetViews>
  <sheetFormatPr defaultColWidth="8.77734375" defaultRowHeight="14.4" x14ac:dyDescent="0.3"/>
  <cols>
    <col min="1" max="1" width="18" style="739" bestFit="1" customWidth="1"/>
    <col min="2" max="4" width="8.77734375" style="739"/>
    <col min="5" max="5" width="36.21875" style="739" bestFit="1" customWidth="1"/>
    <col min="6" max="6" width="99.77734375" style="739" bestFit="1" customWidth="1"/>
    <col min="7" max="7" width="16.21875" style="739" bestFit="1" customWidth="1"/>
    <col min="8" max="8" width="44.77734375" style="739" bestFit="1" customWidth="1"/>
    <col min="9" max="9" width="28" style="739" bestFit="1" customWidth="1"/>
    <col min="10" max="16384" width="8.77734375" style="739"/>
  </cols>
  <sheetData>
    <row r="1" spans="1:9" x14ac:dyDescent="0.3">
      <c r="A1" s="739" t="s">
        <v>3237</v>
      </c>
      <c r="B1" s="739" t="s">
        <v>3238</v>
      </c>
      <c r="C1" s="742" t="s">
        <v>3239</v>
      </c>
      <c r="E1" s="749" t="s">
        <v>3283</v>
      </c>
      <c r="F1" s="749" t="s">
        <v>3261</v>
      </c>
      <c r="G1" s="749">
        <v>2019</v>
      </c>
      <c r="H1" s="749" t="s">
        <v>3262</v>
      </c>
    </row>
    <row r="2" spans="1:9" x14ac:dyDescent="0.3">
      <c r="A2" s="739" t="s">
        <v>3910</v>
      </c>
      <c r="B2" s="748">
        <v>0.1</v>
      </c>
      <c r="E2" s="739" t="s">
        <v>3240</v>
      </c>
      <c r="F2" s="739" t="s">
        <v>3241</v>
      </c>
      <c r="G2" s="752" t="s">
        <v>3282</v>
      </c>
      <c r="H2" s="739" t="s">
        <v>3242</v>
      </c>
      <c r="I2" s="739" t="s">
        <v>3243</v>
      </c>
    </row>
    <row r="3" spans="1:9" x14ac:dyDescent="0.3">
      <c r="E3" t="s">
        <v>9</v>
      </c>
      <c r="F3" s="739" t="s">
        <v>3245</v>
      </c>
      <c r="G3" s="767">
        <f>IF($G$1=2014,Input!E22,IF($G$1=2015,Input!F22,IF($G$1=2016,Input!G22,IF($G$1=2017,Input!H22,IF($G$1=2018,Input!I22,IF($G$1=2019,Input!J22,0))))))</f>
        <v>2522232167.2240005</v>
      </c>
    </row>
    <row r="4" spans="1:9" x14ac:dyDescent="0.3">
      <c r="A4" s="739" t="s">
        <v>3244</v>
      </c>
      <c r="B4" s="780" t="s">
        <v>3921</v>
      </c>
      <c r="E4" t="s">
        <v>10</v>
      </c>
      <c r="F4" s="739" t="s">
        <v>3257</v>
      </c>
      <c r="G4" s="767">
        <f>IF($G$1=2014,Input!E24,IF($G$1=2015,Input!F24,IF($G$1=2016,Input!G24,IF($G$1=2017,Input!H24,IF($G$1=2018,Input!I24,IF($G$1=2019,Input!J24,0))))))</f>
        <v>-1826437687.8247502</v>
      </c>
      <c r="H4" s="639" t="s">
        <v>3256</v>
      </c>
      <c r="I4" s="639" t="s">
        <v>3247</v>
      </c>
    </row>
    <row r="5" spans="1:9" x14ac:dyDescent="0.3">
      <c r="B5" s="780"/>
      <c r="E5" t="s">
        <v>3080</v>
      </c>
      <c r="F5" s="739" t="s">
        <v>3258</v>
      </c>
      <c r="G5" s="767">
        <f>IF($G$1=2014,Input!E26,IF($G$1=2015,Input!F26,IF($G$1=2016,Input!G26,IF($G$1=2017,Input!H26,IF($G$1=2018,Input!I26,IF($G$1=2019,Input!J26,0))))))</f>
        <v>-98858362.812499985</v>
      </c>
      <c r="H5" s="639" t="s">
        <v>3248</v>
      </c>
    </row>
    <row r="6" spans="1:9" x14ac:dyDescent="0.3">
      <c r="E6" s="750" t="s">
        <v>12</v>
      </c>
      <c r="F6" s="749"/>
      <c r="G6" s="768"/>
      <c r="H6" s="765" t="s">
        <v>3911</v>
      </c>
      <c r="I6" s="764"/>
    </row>
    <row r="7" spans="1:9" x14ac:dyDescent="0.3">
      <c r="A7" s="779" t="s">
        <v>3281</v>
      </c>
      <c r="E7" t="s">
        <v>3095</v>
      </c>
      <c r="G7" s="767" t="s">
        <v>3246</v>
      </c>
      <c r="H7" s="639" t="s">
        <v>3248</v>
      </c>
    </row>
    <row r="8" spans="1:9" x14ac:dyDescent="0.3">
      <c r="A8" s="779"/>
      <c r="E8" t="s">
        <v>13</v>
      </c>
      <c r="F8" s="739" t="s">
        <v>3258</v>
      </c>
      <c r="G8" s="767" t="s">
        <v>3246</v>
      </c>
      <c r="H8" s="639" t="s">
        <v>3248</v>
      </c>
    </row>
    <row r="9" spans="1:9" x14ac:dyDescent="0.3">
      <c r="A9" s="779"/>
      <c r="E9" t="s">
        <v>14</v>
      </c>
      <c r="G9" s="767" t="s">
        <v>3246</v>
      </c>
      <c r="H9" s="639" t="s">
        <v>3248</v>
      </c>
    </row>
    <row r="10" spans="1:9" x14ac:dyDescent="0.3">
      <c r="A10" s="779"/>
      <c r="E10" t="s">
        <v>3094</v>
      </c>
      <c r="G10" s="767" t="s">
        <v>3246</v>
      </c>
      <c r="H10" s="639" t="s">
        <v>3248</v>
      </c>
    </row>
    <row r="11" spans="1:9" x14ac:dyDescent="0.3">
      <c r="A11" s="779"/>
      <c r="E11" t="s">
        <v>1773</v>
      </c>
      <c r="G11" s="767" t="s">
        <v>3246</v>
      </c>
      <c r="H11" s="639" t="s">
        <v>3248</v>
      </c>
    </row>
    <row r="12" spans="1:9" x14ac:dyDescent="0.3">
      <c r="E12" t="s">
        <v>15</v>
      </c>
      <c r="G12" s="767" t="s">
        <v>3246</v>
      </c>
      <c r="H12" s="639" t="s">
        <v>3248</v>
      </c>
    </row>
    <row r="13" spans="1:9" ht="14.4" customHeight="1" x14ac:dyDescent="0.3">
      <c r="A13" s="779" t="s">
        <v>3922</v>
      </c>
      <c r="E13" s="750" t="s">
        <v>148</v>
      </c>
      <c r="F13" s="749"/>
      <c r="G13" s="768"/>
      <c r="H13" s="765" t="s">
        <v>3911</v>
      </c>
    </row>
    <row r="14" spans="1:9" ht="14.4" customHeight="1" x14ac:dyDescent="0.3">
      <c r="A14" s="779"/>
      <c r="E14" s="763" t="s">
        <v>3909</v>
      </c>
      <c r="G14" s="767"/>
      <c r="H14" s="639" t="s">
        <v>3911</v>
      </c>
    </row>
    <row r="15" spans="1:9" x14ac:dyDescent="0.3">
      <c r="A15" s="779"/>
      <c r="E15" t="s">
        <v>1774</v>
      </c>
      <c r="F15" s="739" t="s">
        <v>3222</v>
      </c>
      <c r="G15" s="767" t="s">
        <v>3246</v>
      </c>
      <c r="H15" s="639" t="s">
        <v>3248</v>
      </c>
    </row>
    <row r="16" spans="1:9" x14ac:dyDescent="0.3">
      <c r="A16" s="779"/>
      <c r="E16" t="s">
        <v>17</v>
      </c>
      <c r="G16" s="767" t="s">
        <v>3246</v>
      </c>
      <c r="H16" s="639" t="s">
        <v>3248</v>
      </c>
    </row>
    <row r="17" spans="1:8" x14ac:dyDescent="0.3">
      <c r="A17" s="779"/>
      <c r="E17" t="s">
        <v>18</v>
      </c>
      <c r="F17" s="739" t="s">
        <v>3223</v>
      </c>
      <c r="G17" s="767" t="s">
        <v>3246</v>
      </c>
      <c r="H17" s="639" t="s">
        <v>3248</v>
      </c>
    </row>
    <row r="18" spans="1:8" x14ac:dyDescent="0.3">
      <c r="E18" t="s">
        <v>19</v>
      </c>
      <c r="G18" s="767" t="s">
        <v>3246</v>
      </c>
      <c r="H18" s="639" t="s">
        <v>3248</v>
      </c>
    </row>
    <row r="19" spans="1:8" x14ac:dyDescent="0.3">
      <c r="A19" s="746" t="s">
        <v>3249</v>
      </c>
      <c r="E19" t="s">
        <v>20</v>
      </c>
      <c r="G19" s="767" t="s">
        <v>3246</v>
      </c>
      <c r="H19" s="639" t="s">
        <v>3248</v>
      </c>
    </row>
    <row r="20" spans="1:8" x14ac:dyDescent="0.3">
      <c r="A20" s="779" t="s">
        <v>3250</v>
      </c>
      <c r="E20" t="s">
        <v>21</v>
      </c>
      <c r="G20" s="767" t="s">
        <v>3246</v>
      </c>
      <c r="H20" s="639" t="s">
        <v>3248</v>
      </c>
    </row>
    <row r="21" spans="1:8" x14ac:dyDescent="0.3">
      <c r="A21" s="779"/>
      <c r="E21" t="s">
        <v>22</v>
      </c>
      <c r="G21" s="767" t="s">
        <v>3246</v>
      </c>
      <c r="H21" s="639" t="s">
        <v>3248</v>
      </c>
    </row>
    <row r="22" spans="1:8" x14ac:dyDescent="0.3">
      <c r="A22" s="779"/>
      <c r="E22" s="750" t="s">
        <v>3912</v>
      </c>
      <c r="F22" s="749"/>
      <c r="G22" s="768"/>
      <c r="H22" s="765" t="s">
        <v>3911</v>
      </c>
    </row>
    <row r="23" spans="1:8" x14ac:dyDescent="0.3">
      <c r="E23" t="s">
        <v>24</v>
      </c>
      <c r="G23" s="767" t="s">
        <v>3226</v>
      </c>
      <c r="H23" s="639" t="s">
        <v>3227</v>
      </c>
    </row>
    <row r="24" spans="1:8" x14ac:dyDescent="0.3">
      <c r="A24" s="739" t="s">
        <v>3251</v>
      </c>
      <c r="E24" t="s">
        <v>28</v>
      </c>
      <c r="G24" s="767" t="s">
        <v>3246</v>
      </c>
      <c r="H24" s="639" t="s">
        <v>3248</v>
      </c>
    </row>
    <row r="25" spans="1:8" x14ac:dyDescent="0.3">
      <c r="A25" s="747" t="s">
        <v>3252</v>
      </c>
      <c r="E25" t="s">
        <v>29</v>
      </c>
      <c r="G25" s="767" t="s">
        <v>3246</v>
      </c>
      <c r="H25" s="639" t="s">
        <v>3248</v>
      </c>
    </row>
    <row r="26" spans="1:8" x14ac:dyDescent="0.3">
      <c r="E26" t="s">
        <v>30</v>
      </c>
      <c r="G26" s="767" t="s">
        <v>3246</v>
      </c>
      <c r="H26" s="639" t="s">
        <v>3248</v>
      </c>
    </row>
    <row r="27" spans="1:8" x14ac:dyDescent="0.3">
      <c r="E27" t="s">
        <v>30</v>
      </c>
      <c r="G27" s="767" t="s">
        <v>3246</v>
      </c>
      <c r="H27" s="639" t="s">
        <v>3248</v>
      </c>
    </row>
    <row r="28" spans="1:8" x14ac:dyDescent="0.3">
      <c r="E28" s="321" t="s">
        <v>3081</v>
      </c>
      <c r="F28" s="321"/>
      <c r="G28" s="320"/>
      <c r="H28" s="321"/>
    </row>
    <row r="29" spans="1:8" x14ac:dyDescent="0.3">
      <c r="E29" t="s">
        <v>32</v>
      </c>
      <c r="G29" s="767" t="s">
        <v>3246</v>
      </c>
      <c r="H29" s="639" t="s">
        <v>3248</v>
      </c>
    </row>
    <row r="30" spans="1:8" x14ac:dyDescent="0.3">
      <c r="E30" t="s">
        <v>33</v>
      </c>
      <c r="G30" s="767" t="s">
        <v>3246</v>
      </c>
      <c r="H30" s="639" t="s">
        <v>3248</v>
      </c>
    </row>
    <row r="31" spans="1:8" x14ac:dyDescent="0.3">
      <c r="E31" s="750" t="s">
        <v>3082</v>
      </c>
      <c r="F31" s="749"/>
      <c r="G31" s="768" t="s">
        <v>3246</v>
      </c>
      <c r="H31" s="765" t="s">
        <v>3911</v>
      </c>
    </row>
    <row r="32" spans="1:8" x14ac:dyDescent="0.3">
      <c r="E32" s="321" t="s">
        <v>35</v>
      </c>
      <c r="F32" s="321"/>
      <c r="G32" s="320"/>
      <c r="H32" s="765" t="s">
        <v>3911</v>
      </c>
    </row>
    <row r="33" spans="4:8" x14ac:dyDescent="0.3">
      <c r="G33" s="767"/>
    </row>
    <row r="34" spans="4:8" x14ac:dyDescent="0.3">
      <c r="G34" s="767"/>
    </row>
    <row r="35" spans="4:8" x14ac:dyDescent="0.3">
      <c r="G35" s="767"/>
    </row>
    <row r="36" spans="4:8" x14ac:dyDescent="0.3">
      <c r="E36" s="739" t="s">
        <v>38</v>
      </c>
      <c r="F36" s="739" t="s">
        <v>3254</v>
      </c>
      <c r="G36" s="767" t="s">
        <v>3246</v>
      </c>
      <c r="H36" s="639" t="s">
        <v>3253</v>
      </c>
    </row>
    <row r="37" spans="4:8" x14ac:dyDescent="0.3">
      <c r="E37" s="739" t="s">
        <v>39</v>
      </c>
      <c r="G37" s="767" t="s">
        <v>3246</v>
      </c>
      <c r="H37" s="639" t="s">
        <v>3253</v>
      </c>
    </row>
    <row r="38" spans="4:8" x14ac:dyDescent="0.3">
      <c r="E38" s="739" t="s">
        <v>40</v>
      </c>
      <c r="G38" s="767" t="s">
        <v>3246</v>
      </c>
      <c r="H38" s="639" t="s">
        <v>3253</v>
      </c>
    </row>
    <row r="39" spans="4:8" x14ac:dyDescent="0.3">
      <c r="E39" s="739" t="s">
        <v>41</v>
      </c>
      <c r="G39" s="767" t="s">
        <v>3246</v>
      </c>
      <c r="H39" s="639" t="s">
        <v>3253</v>
      </c>
    </row>
    <row r="40" spans="4:8" x14ac:dyDescent="0.3">
      <c r="E40" s="739" t="s">
        <v>42</v>
      </c>
      <c r="G40" s="767" t="s">
        <v>3246</v>
      </c>
      <c r="H40" s="639" t="s">
        <v>3253</v>
      </c>
    </row>
    <row r="41" spans="4:8" x14ac:dyDescent="0.3">
      <c r="D41" s="766" t="s">
        <v>3914</v>
      </c>
      <c r="E41" s="739" t="s">
        <v>3913</v>
      </c>
      <c r="G41" s="767" t="s">
        <v>3246</v>
      </c>
      <c r="H41" s="639" t="s">
        <v>3253</v>
      </c>
    </row>
    <row r="42" spans="4:8" x14ac:dyDescent="0.3">
      <c r="E42" s="739" t="s">
        <v>44</v>
      </c>
      <c r="G42" s="767" t="s">
        <v>3246</v>
      </c>
      <c r="H42" s="639" t="s">
        <v>3253</v>
      </c>
    </row>
    <row r="43" spans="4:8" x14ac:dyDescent="0.3">
      <c r="E43" s="739" t="s">
        <v>45</v>
      </c>
      <c r="G43" s="767" t="s">
        <v>3246</v>
      </c>
      <c r="H43" s="639" t="s">
        <v>3253</v>
      </c>
    </row>
    <row r="44" spans="4:8" x14ac:dyDescent="0.3">
      <c r="E44" s="739" t="s">
        <v>46</v>
      </c>
      <c r="G44" s="767" t="s">
        <v>3246</v>
      </c>
      <c r="H44" s="639" t="s">
        <v>3253</v>
      </c>
    </row>
    <row r="45" spans="4:8" x14ac:dyDescent="0.3">
      <c r="E45" s="739" t="s">
        <v>371</v>
      </c>
      <c r="G45" s="767" t="s">
        <v>3246</v>
      </c>
      <c r="H45" s="639" t="s">
        <v>3253</v>
      </c>
    </row>
    <row r="46" spans="4:8" x14ac:dyDescent="0.3">
      <c r="E46" s="739" t="s">
        <v>47</v>
      </c>
      <c r="G46" s="767" t="s">
        <v>3246</v>
      </c>
      <c r="H46" s="639" t="s">
        <v>3253</v>
      </c>
    </row>
    <row r="47" spans="4:8" x14ac:dyDescent="0.3">
      <c r="E47" s="739" t="s">
        <v>48</v>
      </c>
      <c r="G47" s="767" t="s">
        <v>3246</v>
      </c>
      <c r="H47" s="639" t="s">
        <v>3253</v>
      </c>
    </row>
    <row r="48" spans="4:8" x14ac:dyDescent="0.3">
      <c r="E48" s="739" t="s">
        <v>49</v>
      </c>
      <c r="G48" s="767" t="s">
        <v>3246</v>
      </c>
      <c r="H48" s="639" t="s">
        <v>3253</v>
      </c>
    </row>
    <row r="49" spans="5:8" x14ac:dyDescent="0.3">
      <c r="E49" s="739" t="s">
        <v>50</v>
      </c>
      <c r="G49" s="767" t="s">
        <v>3246</v>
      </c>
      <c r="H49" s="639" t="s">
        <v>3253</v>
      </c>
    </row>
    <row r="50" spans="5:8" x14ac:dyDescent="0.3">
      <c r="E50" s="739" t="s">
        <v>51</v>
      </c>
      <c r="G50" s="767" t="s">
        <v>3246</v>
      </c>
      <c r="H50" s="639" t="s">
        <v>3253</v>
      </c>
    </row>
    <row r="51" spans="5:8" x14ac:dyDescent="0.3">
      <c r="E51" s="739" t="s">
        <v>52</v>
      </c>
      <c r="G51" s="767" t="s">
        <v>3246</v>
      </c>
      <c r="H51" s="639" t="s">
        <v>3253</v>
      </c>
    </row>
    <row r="52" spans="5:8" x14ac:dyDescent="0.3">
      <c r="E52" s="749" t="s">
        <v>3915</v>
      </c>
      <c r="F52" s="749"/>
      <c r="G52" s="768"/>
      <c r="H52" s="765" t="s">
        <v>3911</v>
      </c>
    </row>
    <row r="53" spans="5:8" x14ac:dyDescent="0.3">
      <c r="E53" s="739" t="s">
        <v>54</v>
      </c>
      <c r="G53" s="767" t="s">
        <v>3246</v>
      </c>
      <c r="H53" s="639" t="s">
        <v>3253</v>
      </c>
    </row>
    <row r="54" spans="5:8" x14ac:dyDescent="0.3">
      <c r="E54" s="739" t="s">
        <v>55</v>
      </c>
      <c r="G54" s="767" t="s">
        <v>3246</v>
      </c>
      <c r="H54" s="639" t="s">
        <v>3253</v>
      </c>
    </row>
    <row r="55" spans="5:8" x14ac:dyDescent="0.3">
      <c r="E55" s="739" t="s">
        <v>56</v>
      </c>
      <c r="G55" s="767" t="s">
        <v>3246</v>
      </c>
      <c r="H55" s="639" t="s">
        <v>3253</v>
      </c>
    </row>
    <row r="56" spans="5:8" x14ac:dyDescent="0.3">
      <c r="E56" s="739" t="s">
        <v>57</v>
      </c>
      <c r="G56" s="767" t="s">
        <v>3246</v>
      </c>
      <c r="H56" s="639" t="s">
        <v>3253</v>
      </c>
    </row>
    <row r="57" spans="5:8" x14ac:dyDescent="0.3">
      <c r="E57" s="739" t="s">
        <v>58</v>
      </c>
      <c r="G57" s="767" t="s">
        <v>3246</v>
      </c>
      <c r="H57" s="639" t="s">
        <v>3253</v>
      </c>
    </row>
    <row r="58" spans="5:8" x14ac:dyDescent="0.3">
      <c r="E58" s="739" t="s">
        <v>59</v>
      </c>
      <c r="G58" s="767" t="s">
        <v>3246</v>
      </c>
      <c r="H58" s="639" t="s">
        <v>3253</v>
      </c>
    </row>
    <row r="59" spans="5:8" x14ac:dyDescent="0.3">
      <c r="E59" s="739" t="s">
        <v>60</v>
      </c>
      <c r="G59" s="767" t="s">
        <v>3246</v>
      </c>
      <c r="H59" s="639" t="s">
        <v>3253</v>
      </c>
    </row>
    <row r="60" spans="5:8" x14ac:dyDescent="0.3">
      <c r="E60" s="739" t="s">
        <v>61</v>
      </c>
      <c r="G60" s="767" t="s">
        <v>3246</v>
      </c>
      <c r="H60" s="639" t="s">
        <v>3253</v>
      </c>
    </row>
    <row r="61" spans="5:8" x14ac:dyDescent="0.3">
      <c r="E61" s="739" t="s">
        <v>62</v>
      </c>
      <c r="G61" s="767" t="s">
        <v>3246</v>
      </c>
      <c r="H61" s="639" t="s">
        <v>3253</v>
      </c>
    </row>
    <row r="62" spans="5:8" x14ac:dyDescent="0.3">
      <c r="E62" s="739" t="s">
        <v>1782</v>
      </c>
      <c r="G62" s="767" t="s">
        <v>3246</v>
      </c>
      <c r="H62" s="639" t="s">
        <v>3253</v>
      </c>
    </row>
    <row r="63" spans="5:8" x14ac:dyDescent="0.3">
      <c r="E63" s="739" t="s">
        <v>63</v>
      </c>
      <c r="G63" s="767" t="s">
        <v>3246</v>
      </c>
      <c r="H63" s="639" t="s">
        <v>3253</v>
      </c>
    </row>
    <row r="64" spans="5:8" x14ac:dyDescent="0.3">
      <c r="E64" s="739" t="s">
        <v>1775</v>
      </c>
      <c r="G64" s="767" t="s">
        <v>3246</v>
      </c>
      <c r="H64" s="639" t="s">
        <v>3253</v>
      </c>
    </row>
    <row r="65" spans="5:8" x14ac:dyDescent="0.3">
      <c r="E65" s="739" t="s">
        <v>64</v>
      </c>
      <c r="G65" s="767" t="s">
        <v>3246</v>
      </c>
      <c r="H65" s="639" t="s">
        <v>3253</v>
      </c>
    </row>
    <row r="66" spans="5:8" x14ac:dyDescent="0.3">
      <c r="E66" s="739" t="s">
        <v>65</v>
      </c>
      <c r="G66" s="767" t="s">
        <v>3246</v>
      </c>
      <c r="H66" s="639" t="s">
        <v>3253</v>
      </c>
    </row>
    <row r="67" spans="5:8" x14ac:dyDescent="0.3">
      <c r="E67" s="739" t="s">
        <v>66</v>
      </c>
      <c r="G67" s="767" t="s">
        <v>3246</v>
      </c>
      <c r="H67" s="639" t="s">
        <v>3253</v>
      </c>
    </row>
    <row r="68" spans="5:8" x14ac:dyDescent="0.3">
      <c r="E68" s="749" t="s">
        <v>3916</v>
      </c>
      <c r="F68" s="749"/>
      <c r="G68" s="768"/>
      <c r="H68" s="765" t="s">
        <v>3911</v>
      </c>
    </row>
    <row r="69" spans="5:8" x14ac:dyDescent="0.3">
      <c r="G69" s="767"/>
    </row>
    <row r="70" spans="5:8" x14ac:dyDescent="0.3">
      <c r="G70" s="767"/>
    </row>
    <row r="71" spans="5:8" x14ac:dyDescent="0.3">
      <c r="E71" s="748" t="s">
        <v>72</v>
      </c>
      <c r="F71" s="748" t="s">
        <v>3259</v>
      </c>
      <c r="G71" s="767"/>
      <c r="H71" s="748"/>
    </row>
    <row r="72" spans="5:8" x14ac:dyDescent="0.3">
      <c r="E72" s="739" t="s">
        <v>73</v>
      </c>
      <c r="F72" s="748" t="s">
        <v>3259</v>
      </c>
      <c r="G72" s="767" t="s">
        <v>3246</v>
      </c>
      <c r="H72" s="639" t="s">
        <v>3253</v>
      </c>
    </row>
    <row r="73" spans="5:8" x14ac:dyDescent="0.3">
      <c r="E73" s="739" t="s">
        <v>74</v>
      </c>
      <c r="F73" s="748" t="s">
        <v>3259</v>
      </c>
      <c r="G73" s="767" t="s">
        <v>3246</v>
      </c>
      <c r="H73" s="639" t="s">
        <v>3253</v>
      </c>
    </row>
    <row r="74" spans="5:8" x14ac:dyDescent="0.3">
      <c r="E74" s="739" t="s">
        <v>75</v>
      </c>
      <c r="F74" s="748" t="s">
        <v>3259</v>
      </c>
      <c r="G74" s="767" t="s">
        <v>3246</v>
      </c>
      <c r="H74" s="639" t="s">
        <v>3253</v>
      </c>
    </row>
    <row r="75" spans="5:8" x14ac:dyDescent="0.3">
      <c r="E75" s="739" t="s">
        <v>391</v>
      </c>
      <c r="G75" s="767" t="s">
        <v>3246</v>
      </c>
      <c r="H75" s="639" t="s">
        <v>3253</v>
      </c>
    </row>
    <row r="76" spans="5:8" x14ac:dyDescent="0.3">
      <c r="E76" s="739" t="s">
        <v>392</v>
      </c>
      <c r="G76" s="767" t="s">
        <v>3246</v>
      </c>
      <c r="H76" s="639" t="s">
        <v>3253</v>
      </c>
    </row>
    <row r="77" spans="5:8" x14ac:dyDescent="0.3">
      <c r="E77" s="739" t="s">
        <v>76</v>
      </c>
      <c r="G77" s="767" t="s">
        <v>3246</v>
      </c>
      <c r="H77" s="639" t="s">
        <v>3253</v>
      </c>
    </row>
    <row r="78" spans="5:8" x14ac:dyDescent="0.3">
      <c r="E78" s="739" t="s">
        <v>77</v>
      </c>
      <c r="G78" s="767" t="s">
        <v>3246</v>
      </c>
      <c r="H78" s="639" t="s">
        <v>3253</v>
      </c>
    </row>
    <row r="79" spans="5:8" x14ac:dyDescent="0.3">
      <c r="E79" s="739" t="s">
        <v>78</v>
      </c>
      <c r="G79" s="767" t="s">
        <v>3246</v>
      </c>
      <c r="H79" s="639" t="s">
        <v>3253</v>
      </c>
    </row>
    <row r="80" spans="5:8" x14ac:dyDescent="0.3">
      <c r="E80" s="739" t="s">
        <v>79</v>
      </c>
      <c r="G80" s="767" t="s">
        <v>3246</v>
      </c>
      <c r="H80" s="639" t="s">
        <v>3253</v>
      </c>
    </row>
    <row r="81" spans="5:8" x14ac:dyDescent="0.3">
      <c r="E81" s="739" t="s">
        <v>80</v>
      </c>
      <c r="G81" s="767" t="s">
        <v>3246</v>
      </c>
      <c r="H81" s="639" t="s">
        <v>3253</v>
      </c>
    </row>
    <row r="82" spans="5:8" x14ac:dyDescent="0.3">
      <c r="E82" s="739" t="s">
        <v>81</v>
      </c>
      <c r="G82" s="767" t="s">
        <v>3246</v>
      </c>
      <c r="H82" s="639" t="s">
        <v>3253</v>
      </c>
    </row>
    <row r="83" spans="5:8" x14ac:dyDescent="0.3">
      <c r="E83" s="749" t="s">
        <v>3917</v>
      </c>
      <c r="F83" s="749"/>
      <c r="G83" s="768"/>
      <c r="H83" s="765" t="s">
        <v>3911</v>
      </c>
    </row>
    <row r="84" spans="5:8" x14ac:dyDescent="0.3">
      <c r="E84" s="739" t="s">
        <v>83</v>
      </c>
      <c r="F84" s="748" t="s">
        <v>3259</v>
      </c>
      <c r="G84" s="767" t="s">
        <v>3246</v>
      </c>
      <c r="H84" s="639" t="s">
        <v>3253</v>
      </c>
    </row>
    <row r="85" spans="5:8" x14ac:dyDescent="0.3">
      <c r="E85" s="739" t="s">
        <v>84</v>
      </c>
      <c r="F85" s="748" t="s">
        <v>3259</v>
      </c>
      <c r="G85" s="767" t="s">
        <v>3246</v>
      </c>
      <c r="H85" s="639" t="s">
        <v>3253</v>
      </c>
    </row>
    <row r="86" spans="5:8" x14ac:dyDescent="0.3">
      <c r="E86" s="739" t="s">
        <v>85</v>
      </c>
      <c r="F86" s="748" t="s">
        <v>3259</v>
      </c>
      <c r="G86" s="767" t="s">
        <v>3246</v>
      </c>
      <c r="H86" s="639" t="s">
        <v>3253</v>
      </c>
    </row>
    <row r="87" spans="5:8" x14ac:dyDescent="0.3">
      <c r="E87" s="749" t="s">
        <v>3918</v>
      </c>
      <c r="F87" s="749"/>
      <c r="G87" s="768"/>
      <c r="H87" s="765" t="s">
        <v>3911</v>
      </c>
    </row>
    <row r="88" spans="5:8" x14ac:dyDescent="0.3">
      <c r="E88" s="739" t="s">
        <v>87</v>
      </c>
      <c r="G88" s="767" t="s">
        <v>3246</v>
      </c>
      <c r="H88" s="639" t="s">
        <v>3253</v>
      </c>
    </row>
    <row r="89" spans="5:8" x14ac:dyDescent="0.3">
      <c r="E89" s="739" t="s">
        <v>88</v>
      </c>
      <c r="G89" s="767" t="s">
        <v>3246</v>
      </c>
      <c r="H89" s="639" t="s">
        <v>3253</v>
      </c>
    </row>
    <row r="90" spans="5:8" x14ac:dyDescent="0.3">
      <c r="E90" s="739" t="s">
        <v>89</v>
      </c>
      <c r="G90" s="767" t="s">
        <v>3246</v>
      </c>
      <c r="H90" s="639" t="s">
        <v>3253</v>
      </c>
    </row>
    <row r="91" spans="5:8" x14ac:dyDescent="0.3">
      <c r="E91" s="739" t="s">
        <v>90</v>
      </c>
      <c r="G91" s="767" t="s">
        <v>3246</v>
      </c>
      <c r="H91" s="639" t="s">
        <v>3253</v>
      </c>
    </row>
    <row r="92" spans="5:8" x14ac:dyDescent="0.3">
      <c r="E92" s="739" t="s">
        <v>91</v>
      </c>
      <c r="G92" s="767" t="s">
        <v>3246</v>
      </c>
      <c r="H92" s="639" t="s">
        <v>3253</v>
      </c>
    </row>
    <row r="93" spans="5:8" x14ac:dyDescent="0.3">
      <c r="E93" s="749" t="s">
        <v>3919</v>
      </c>
      <c r="F93" s="749"/>
      <c r="G93" s="768"/>
      <c r="H93" s="765" t="s">
        <v>3911</v>
      </c>
    </row>
    <row r="94" spans="5:8" x14ac:dyDescent="0.3">
      <c r="E94" s="739" t="s">
        <v>93</v>
      </c>
      <c r="G94" s="767" t="s">
        <v>3246</v>
      </c>
      <c r="H94" s="639" t="s">
        <v>3253</v>
      </c>
    </row>
    <row r="95" spans="5:8" x14ac:dyDescent="0.3">
      <c r="E95" s="739" t="s">
        <v>94</v>
      </c>
      <c r="G95" s="767" t="s">
        <v>3246</v>
      </c>
      <c r="H95" s="639" t="s">
        <v>3253</v>
      </c>
    </row>
    <row r="96" spans="5:8" x14ac:dyDescent="0.3">
      <c r="E96" s="739" t="s">
        <v>95</v>
      </c>
      <c r="G96" s="767" t="s">
        <v>3246</v>
      </c>
      <c r="H96" s="639" t="s">
        <v>3253</v>
      </c>
    </row>
    <row r="97" spans="5:8" x14ac:dyDescent="0.3">
      <c r="E97" s="739" t="s">
        <v>96</v>
      </c>
      <c r="G97" s="767" t="s">
        <v>3246</v>
      </c>
      <c r="H97" s="639" t="s">
        <v>3253</v>
      </c>
    </row>
    <row r="98" spans="5:8" x14ac:dyDescent="0.3">
      <c r="E98" s="742" t="s">
        <v>97</v>
      </c>
      <c r="F98" s="742" t="s">
        <v>3255</v>
      </c>
      <c r="G98" s="769" t="s">
        <v>3246</v>
      </c>
      <c r="H98" s="765" t="s">
        <v>3911</v>
      </c>
    </row>
    <row r="99" spans="5:8" x14ac:dyDescent="0.3">
      <c r="E99" s="742" t="s">
        <v>98</v>
      </c>
      <c r="F99" s="742" t="s">
        <v>3255</v>
      </c>
      <c r="G99" s="769" t="s">
        <v>3246</v>
      </c>
      <c r="H99" s="765" t="s">
        <v>3911</v>
      </c>
    </row>
    <row r="100" spans="5:8" x14ac:dyDescent="0.3">
      <c r="E100" s="742" t="s">
        <v>99</v>
      </c>
      <c r="F100" s="742" t="s">
        <v>3255</v>
      </c>
      <c r="G100" s="769" t="s">
        <v>3246</v>
      </c>
      <c r="H100" s="765" t="s">
        <v>3911</v>
      </c>
    </row>
    <row r="101" spans="5:8" x14ac:dyDescent="0.3">
      <c r="E101" s="742" t="s">
        <v>100</v>
      </c>
      <c r="F101" s="742" t="s">
        <v>3255</v>
      </c>
      <c r="G101" s="769" t="s">
        <v>3246</v>
      </c>
      <c r="H101" s="765" t="s">
        <v>3911</v>
      </c>
    </row>
    <row r="102" spans="5:8" x14ac:dyDescent="0.3">
      <c r="E102" s="742" t="s">
        <v>101</v>
      </c>
      <c r="F102" s="742" t="s">
        <v>3255</v>
      </c>
      <c r="G102" s="769" t="s">
        <v>3246</v>
      </c>
      <c r="H102" s="765" t="s">
        <v>3911</v>
      </c>
    </row>
    <row r="103" spans="5:8" x14ac:dyDescent="0.3">
      <c r="E103" s="739" t="s">
        <v>102</v>
      </c>
      <c r="G103" s="767" t="s">
        <v>3246</v>
      </c>
      <c r="H103" s="639" t="s">
        <v>3253</v>
      </c>
    </row>
    <row r="104" spans="5:8" x14ac:dyDescent="0.3">
      <c r="E104" s="739" t="s">
        <v>103</v>
      </c>
      <c r="G104" s="767" t="s">
        <v>3246</v>
      </c>
      <c r="H104" s="639" t="s">
        <v>3253</v>
      </c>
    </row>
    <row r="105" spans="5:8" x14ac:dyDescent="0.3">
      <c r="E105" s="739" t="s">
        <v>1783</v>
      </c>
      <c r="G105" s="767" t="s">
        <v>3246</v>
      </c>
      <c r="H105" s="639" t="s">
        <v>3253</v>
      </c>
    </row>
    <row r="106" spans="5:8" x14ac:dyDescent="0.3">
      <c r="E106" s="739" t="s">
        <v>104</v>
      </c>
      <c r="G106" s="767" t="s">
        <v>3246</v>
      </c>
      <c r="H106" s="639" t="s">
        <v>3253</v>
      </c>
    </row>
    <row r="107" spans="5:8" x14ac:dyDescent="0.3">
      <c r="E107" s="749" t="s">
        <v>362</v>
      </c>
      <c r="F107" s="749"/>
      <c r="G107" s="768"/>
      <c r="H107" s="765" t="s">
        <v>3911</v>
      </c>
    </row>
    <row r="108" spans="5:8" x14ac:dyDescent="0.3">
      <c r="E108" s="749" t="s">
        <v>3920</v>
      </c>
      <c r="F108" s="749"/>
      <c r="G108" s="768"/>
      <c r="H108" s="765" t="s">
        <v>3911</v>
      </c>
    </row>
  </sheetData>
  <mergeCells count="4">
    <mergeCell ref="A20:A22"/>
    <mergeCell ref="A7:A11"/>
    <mergeCell ref="B4:B5"/>
    <mergeCell ref="A13:A17"/>
  </mergeCells>
  <dataValidations count="1">
    <dataValidation type="list" allowBlank="1" showInputMessage="1" showErrorMessage="1" sqref="G1" xr:uid="{00000000-0002-0000-0100-000000000000}">
      <formula1>"2014, 2015, 2016, 2017, 2018, 2019"</formula1>
    </dataValidation>
  </dataValidations>
  <hyperlinks>
    <hyperlink ref="A25" r:id="rId1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E49"/>
  <sheetViews>
    <sheetView workbookViewId="0">
      <selection activeCell="W29" sqref="W29"/>
    </sheetView>
  </sheetViews>
  <sheetFormatPr defaultRowHeight="13.2" x14ac:dyDescent="0.25"/>
  <cols>
    <col min="2" max="2" width="44.21875" customWidth="1"/>
    <col min="3" max="3" width="15.21875" customWidth="1"/>
    <col min="4" max="4" width="17.21875" bestFit="1" customWidth="1"/>
    <col min="5" max="5" width="12.77734375" bestFit="1" customWidth="1"/>
  </cols>
  <sheetData>
    <row r="3" spans="2:4" x14ac:dyDescent="0.25">
      <c r="B3" t="s">
        <v>395</v>
      </c>
      <c r="C3" s="623">
        <v>0.19689000000000001</v>
      </c>
    </row>
    <row r="4" spans="2:4" x14ac:dyDescent="0.25">
      <c r="B4" t="s">
        <v>396</v>
      </c>
      <c r="C4" s="623">
        <v>0.15606</v>
      </c>
    </row>
    <row r="5" spans="2:4" x14ac:dyDescent="0.25">
      <c r="B5" s="30" t="s">
        <v>402</v>
      </c>
      <c r="C5" s="623">
        <v>0.15429000000000001</v>
      </c>
    </row>
    <row r="6" spans="2:4" x14ac:dyDescent="0.25">
      <c r="B6" t="s">
        <v>397</v>
      </c>
      <c r="C6" s="623">
        <v>9.9900000000000003E-2</v>
      </c>
    </row>
    <row r="7" spans="2:4" x14ac:dyDescent="0.25">
      <c r="B7" t="s">
        <v>398</v>
      </c>
      <c r="C7" s="623">
        <v>7.3499999999999996E-2</v>
      </c>
    </row>
    <row r="8" spans="2:4" x14ac:dyDescent="0.25">
      <c r="B8" t="s">
        <v>399</v>
      </c>
      <c r="C8" s="623">
        <v>5.0200000000000002E-2</v>
      </c>
    </row>
    <row r="9" spans="2:4" x14ac:dyDescent="0.25">
      <c r="B9" t="s">
        <v>401</v>
      </c>
      <c r="C9" s="623">
        <v>2.2370000000000001E-2</v>
      </c>
    </row>
    <row r="10" spans="2:4" x14ac:dyDescent="0.25">
      <c r="B10" t="s">
        <v>400</v>
      </c>
      <c r="C10" s="623">
        <f>1-SUM(C2:C9)</f>
        <v>0.24678999999999995</v>
      </c>
    </row>
    <row r="14" spans="2:4" x14ac:dyDescent="0.25">
      <c r="B14" s="321" t="s">
        <v>407</v>
      </c>
    </row>
    <row r="15" spans="2:4" x14ac:dyDescent="0.25">
      <c r="B15" s="323" t="s">
        <v>2942</v>
      </c>
      <c r="C15" s="624">
        <f>D15/$D$18</f>
        <v>0.94164230438641039</v>
      </c>
      <c r="D15" s="324">
        <v>431905121</v>
      </c>
    </row>
    <row r="16" spans="2:4" x14ac:dyDescent="0.25">
      <c r="B16" s="323" t="s">
        <v>2943</v>
      </c>
      <c r="C16" s="624">
        <f>D16/$D$18</f>
        <v>5.5888167115575524E-2</v>
      </c>
      <c r="D16" s="324">
        <v>25634347</v>
      </c>
    </row>
    <row r="17" spans="2:4" x14ac:dyDescent="0.25">
      <c r="B17" s="323" t="s">
        <v>406</v>
      </c>
      <c r="C17" s="624">
        <f>D17/$D$18</f>
        <v>2.4695284980140457E-3</v>
      </c>
      <c r="D17" s="324">
        <v>1132704</v>
      </c>
    </row>
    <row r="18" spans="2:4" x14ac:dyDescent="0.25">
      <c r="D18" s="320">
        <f>SUM(D15:D17)</f>
        <v>458672172</v>
      </c>
    </row>
    <row r="19" spans="2:4" x14ac:dyDescent="0.25">
      <c r="B19" s="321" t="s">
        <v>408</v>
      </c>
    </row>
    <row r="20" spans="2:4" x14ac:dyDescent="0.25">
      <c r="B20" s="323" t="s">
        <v>409</v>
      </c>
      <c r="C20" s="625">
        <f>D20/$D$24</f>
        <v>0.82208664783730778</v>
      </c>
      <c r="D20" s="324">
        <v>254719028</v>
      </c>
    </row>
    <row r="21" spans="2:4" x14ac:dyDescent="0.25">
      <c r="B21" s="323" t="s">
        <v>410</v>
      </c>
      <c r="C21" s="625">
        <f>D21/$D$24</f>
        <v>0.11222793619232914</v>
      </c>
      <c r="D21" s="324">
        <v>34773209</v>
      </c>
    </row>
    <row r="22" spans="2:4" x14ac:dyDescent="0.25">
      <c r="B22" s="323" t="s">
        <v>2944</v>
      </c>
      <c r="C22" s="625">
        <f>D22/$D$24</f>
        <v>5.2761407397830799E-2</v>
      </c>
      <c r="D22" s="324">
        <v>16347832</v>
      </c>
    </row>
    <row r="23" spans="2:4" x14ac:dyDescent="0.25">
      <c r="B23" s="323" t="s">
        <v>11</v>
      </c>
      <c r="C23" s="625">
        <f>D23/$D$24</f>
        <v>1.2924008572532295E-2</v>
      </c>
      <c r="D23" s="324">
        <v>4004433</v>
      </c>
    </row>
    <row r="24" spans="2:4" x14ac:dyDescent="0.25">
      <c r="D24" s="322">
        <f>SUM(D20:D23)</f>
        <v>309844502</v>
      </c>
    </row>
    <row r="25" spans="2:4" x14ac:dyDescent="0.25">
      <c r="B25" s="325" t="s">
        <v>363</v>
      </c>
    </row>
    <row r="26" spans="2:4" x14ac:dyDescent="0.25">
      <c r="B26" s="323" t="s">
        <v>411</v>
      </c>
      <c r="C26" s="625">
        <f>D26/$D$30</f>
        <v>0.56194280888319759</v>
      </c>
      <c r="D26" s="324">
        <f>3618154+11028193</f>
        <v>14646347</v>
      </c>
    </row>
    <row r="27" spans="2:4" x14ac:dyDescent="0.25">
      <c r="B27" s="323" t="s">
        <v>413</v>
      </c>
      <c r="C27" s="625">
        <f>D27/$D$30</f>
        <v>0.38410992608589822</v>
      </c>
      <c r="D27" s="324">
        <f>2487874+2224267+5299211</f>
        <v>10011352</v>
      </c>
    </row>
    <row r="28" spans="2:4" x14ac:dyDescent="0.25">
      <c r="B28" s="323" t="s">
        <v>11</v>
      </c>
      <c r="C28" s="625">
        <f>D28/$D$30</f>
        <v>3.2178655058623912E-2</v>
      </c>
      <c r="D28" s="324">
        <f>202490+636207</f>
        <v>838697</v>
      </c>
    </row>
    <row r="29" spans="2:4" x14ac:dyDescent="0.25">
      <c r="B29" s="323" t="s">
        <v>412</v>
      </c>
      <c r="C29" s="625">
        <f>D29/$D$30</f>
        <v>2.1768609972280292E-2</v>
      </c>
      <c r="D29" s="324">
        <v>567372</v>
      </c>
    </row>
    <row r="30" spans="2:4" x14ac:dyDescent="0.25">
      <c r="D30" s="322">
        <f>SUM(D26:D29)</f>
        <v>26063768</v>
      </c>
    </row>
    <row r="31" spans="2:4" x14ac:dyDescent="0.25">
      <c r="B31" s="326" t="s">
        <v>414</v>
      </c>
    </row>
    <row r="32" spans="2:4" x14ac:dyDescent="0.25">
      <c r="B32" s="323" t="s">
        <v>2945</v>
      </c>
      <c r="C32" s="625">
        <f t="shared" ref="C32:C37" si="0">D32/$D$38</f>
        <v>0.56725725441949093</v>
      </c>
      <c r="D32" s="324">
        <v>69783406</v>
      </c>
    </row>
    <row r="33" spans="2:5" x14ac:dyDescent="0.25">
      <c r="B33" s="323" t="s">
        <v>2946</v>
      </c>
      <c r="C33" s="625">
        <f t="shared" si="0"/>
        <v>0.19658493334056798</v>
      </c>
      <c r="D33" s="324">
        <v>24183677</v>
      </c>
    </row>
    <row r="34" spans="2:5" x14ac:dyDescent="0.25">
      <c r="B34" s="323" t="s">
        <v>2947</v>
      </c>
      <c r="C34" s="625">
        <f t="shared" si="0"/>
        <v>0.18914321144360047</v>
      </c>
      <c r="D34" s="324">
        <v>23268204</v>
      </c>
    </row>
    <row r="35" spans="2:5" x14ac:dyDescent="0.25">
      <c r="B35" s="323" t="s">
        <v>2948</v>
      </c>
      <c r="C35" s="625">
        <f t="shared" si="0"/>
        <v>2.2157362309351059E-2</v>
      </c>
      <c r="D35" s="324">
        <v>2725776</v>
      </c>
    </row>
    <row r="36" spans="2:5" x14ac:dyDescent="0.25">
      <c r="B36" s="323" t="s">
        <v>2949</v>
      </c>
      <c r="C36" s="625">
        <f t="shared" si="0"/>
        <v>1.2519800299100201E-2</v>
      </c>
      <c r="D36" s="324">
        <v>1540173</v>
      </c>
    </row>
    <row r="37" spans="2:5" x14ac:dyDescent="0.25">
      <c r="B37" s="323" t="s">
        <v>2950</v>
      </c>
      <c r="C37" s="625">
        <f t="shared" si="0"/>
        <v>1.2337438187889307E-2</v>
      </c>
      <c r="D37" s="324">
        <v>1517739</v>
      </c>
    </row>
    <row r="38" spans="2:5" x14ac:dyDescent="0.25">
      <c r="D38" s="322">
        <f>SUM(D32:D37)</f>
        <v>123018975</v>
      </c>
    </row>
    <row r="39" spans="2:5" x14ac:dyDescent="0.25">
      <c r="B39" s="325" t="s">
        <v>415</v>
      </c>
    </row>
    <row r="40" spans="2:5" x14ac:dyDescent="0.25">
      <c r="B40" s="323" t="s">
        <v>416</v>
      </c>
      <c r="C40" s="625">
        <f>D40/$D$44</f>
        <v>0.69604744655564821</v>
      </c>
      <c r="D40" s="324">
        <v>151838025</v>
      </c>
    </row>
    <row r="41" spans="2:5" x14ac:dyDescent="0.25">
      <c r="B41" s="323" t="s">
        <v>418</v>
      </c>
      <c r="C41" s="625">
        <f>D41/$D$44</f>
        <v>0.26379109272394452</v>
      </c>
      <c r="D41" s="324">
        <v>57544236</v>
      </c>
    </row>
    <row r="42" spans="2:5" x14ac:dyDescent="0.25">
      <c r="B42" s="323" t="s">
        <v>419</v>
      </c>
      <c r="C42" s="625">
        <f>D42/$D$44</f>
        <v>3.3313871959095714E-2</v>
      </c>
      <c r="D42" s="324">
        <v>7267195</v>
      </c>
    </row>
    <row r="43" spans="2:5" x14ac:dyDescent="0.25">
      <c r="B43" s="323" t="s">
        <v>417</v>
      </c>
      <c r="C43" s="625">
        <f>D43/$D$44</f>
        <v>6.8475887613114851E-3</v>
      </c>
      <c r="D43" s="324">
        <v>1493755</v>
      </c>
    </row>
    <row r="44" spans="2:5" x14ac:dyDescent="0.25">
      <c r="D44" s="322">
        <f>SUM(D40:D43)</f>
        <v>218143211</v>
      </c>
    </row>
    <row r="47" spans="2:5" x14ac:dyDescent="0.25">
      <c r="C47">
        <v>2014</v>
      </c>
      <c r="D47">
        <v>2015</v>
      </c>
      <c r="E47">
        <v>2016</v>
      </c>
    </row>
    <row r="48" spans="2:5" x14ac:dyDescent="0.25">
      <c r="B48" s="323" t="s">
        <v>420</v>
      </c>
      <c r="C48" s="327">
        <v>3732817</v>
      </c>
      <c r="D48" s="327">
        <v>20847496</v>
      </c>
      <c r="E48" s="327">
        <v>7070306</v>
      </c>
    </row>
    <row r="49" spans="2:5" x14ac:dyDescent="0.25">
      <c r="B49" s="323" t="s">
        <v>11</v>
      </c>
      <c r="C49" s="327">
        <v>3960664</v>
      </c>
      <c r="D49" s="327">
        <v>4465098</v>
      </c>
      <c r="E49" s="327">
        <v>4843130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6">
    <pageSetUpPr fitToPage="1"/>
  </sheetPr>
  <dimension ref="A1:O108"/>
  <sheetViews>
    <sheetView showOutlineSymbols="0" zoomScale="90" zoomScaleNormal="87" workbookViewId="0">
      <selection activeCell="B89" sqref="B89"/>
    </sheetView>
  </sheetViews>
  <sheetFormatPr defaultColWidth="13.21875" defaultRowHeight="13.2" x14ac:dyDescent="0.25"/>
  <cols>
    <col min="1" max="1" width="5.77734375" style="428" customWidth="1"/>
    <col min="2" max="2" width="37.21875" style="429" customWidth="1"/>
    <col min="3" max="3" width="9.21875" style="429" customWidth="1"/>
    <col min="4" max="4" width="9.5546875" style="429" customWidth="1"/>
    <col min="5" max="7" width="9.21875" style="429" customWidth="1"/>
    <col min="8" max="8" width="10.21875" style="429" bestFit="1" customWidth="1"/>
    <col min="9" max="14" width="9.21875" style="429" customWidth="1"/>
    <col min="15" max="22" width="9.77734375" style="429" customWidth="1"/>
    <col min="23" max="16384" width="13.21875" style="429"/>
  </cols>
  <sheetData>
    <row r="1" spans="1:8" ht="13.8" thickBot="1" x14ac:dyDescent="0.3">
      <c r="C1" s="430"/>
    </row>
    <row r="2" spans="1:8" ht="21.75" customHeight="1" thickBot="1" x14ac:dyDescent="0.3">
      <c r="A2" s="431"/>
      <c r="B2" s="302" t="s">
        <v>1736</v>
      </c>
      <c r="C2" s="302"/>
      <c r="D2" s="302"/>
      <c r="E2" s="302"/>
      <c r="F2" s="302"/>
      <c r="G2" s="302"/>
      <c r="H2" s="302"/>
    </row>
    <row r="3" spans="1:8" ht="18" thickBot="1" x14ac:dyDescent="0.3">
      <c r="A3" s="431"/>
      <c r="B3" s="302" t="s">
        <v>2925</v>
      </c>
      <c r="C3" s="436">
        <f>Ratios!I5</f>
        <v>2019</v>
      </c>
      <c r="D3" s="436" t="e">
        <f>Ratios!#REF!</f>
        <v>#REF!</v>
      </c>
      <c r="E3" s="436" t="e">
        <f>Ratios!#REF!</f>
        <v>#REF!</v>
      </c>
      <c r="F3" s="436" t="e">
        <f>Ratios!#REF!</f>
        <v>#REF!</v>
      </c>
      <c r="G3" s="436" t="e">
        <f>Ratios!#REF!</f>
        <v>#REF!</v>
      </c>
      <c r="H3" s="436" t="e">
        <f>Ratios!#REF!</f>
        <v>#REF!</v>
      </c>
    </row>
    <row r="4" spans="1:8" x14ac:dyDescent="0.25">
      <c r="A4" s="431"/>
      <c r="B4" s="432" t="s">
        <v>1737</v>
      </c>
      <c r="C4" s="447"/>
      <c r="D4" s="430"/>
    </row>
    <row r="5" spans="1:8" x14ac:dyDescent="0.25">
      <c r="A5" s="431"/>
      <c r="B5" s="433" t="s">
        <v>1738</v>
      </c>
      <c r="C5" s="447"/>
      <c r="D5" s="430"/>
    </row>
    <row r="6" spans="1:8" x14ac:dyDescent="0.25">
      <c r="A6" s="431"/>
      <c r="B6" s="430" t="s">
        <v>1739</v>
      </c>
      <c r="C6" s="448">
        <v>0</v>
      </c>
      <c r="D6" s="449"/>
      <c r="E6" s="450"/>
      <c r="F6" s="450"/>
      <c r="G6" s="450">
        <v>0</v>
      </c>
      <c r="H6" s="450">
        <v>0</v>
      </c>
    </row>
    <row r="7" spans="1:8" x14ac:dyDescent="0.25">
      <c r="A7" s="431"/>
      <c r="B7" s="430" t="s">
        <v>1740</v>
      </c>
      <c r="C7" s="448">
        <v>0</v>
      </c>
      <c r="D7" s="430">
        <f>C7-D6</f>
        <v>0</v>
      </c>
      <c r="E7" s="429">
        <f t="shared" ref="E7:H7" si="0">D7-E6</f>
        <v>0</v>
      </c>
      <c r="F7" s="429">
        <f t="shared" si="0"/>
        <v>0</v>
      </c>
      <c r="G7" s="429">
        <f t="shared" si="0"/>
        <v>0</v>
      </c>
      <c r="H7" s="429">
        <f t="shared" si="0"/>
        <v>0</v>
      </c>
    </row>
    <row r="8" spans="1:8" x14ac:dyDescent="0.25">
      <c r="A8" s="431"/>
      <c r="B8" s="430" t="s">
        <v>1741</v>
      </c>
      <c r="C8" s="451">
        <v>0.11</v>
      </c>
      <c r="D8" s="452">
        <f>C8</f>
        <v>0.11</v>
      </c>
      <c r="E8" s="453">
        <f t="shared" ref="E8:H8" si="1">D8</f>
        <v>0.11</v>
      </c>
      <c r="F8" s="453">
        <f t="shared" si="1"/>
        <v>0.11</v>
      </c>
      <c r="G8" s="453">
        <f t="shared" si="1"/>
        <v>0.11</v>
      </c>
      <c r="H8" s="453">
        <f t="shared" si="1"/>
        <v>0.11</v>
      </c>
    </row>
    <row r="9" spans="1:8" x14ac:dyDescent="0.25">
      <c r="A9" s="431"/>
      <c r="B9" s="430"/>
      <c r="C9" s="447"/>
      <c r="D9" s="430"/>
    </row>
    <row r="10" spans="1:8" x14ac:dyDescent="0.25">
      <c r="A10" s="431"/>
      <c r="B10" s="433" t="s">
        <v>1742</v>
      </c>
      <c r="C10" s="447"/>
      <c r="D10" s="430"/>
    </row>
    <row r="11" spans="1:8" x14ac:dyDescent="0.25">
      <c r="A11" s="431"/>
      <c r="B11" s="430" t="s">
        <v>1739</v>
      </c>
      <c r="C11" s="448">
        <v>0</v>
      </c>
      <c r="D11" s="449"/>
      <c r="E11" s="449"/>
      <c r="F11" s="449"/>
      <c r="G11" s="449"/>
      <c r="H11" s="450"/>
    </row>
    <row r="12" spans="1:8" x14ac:dyDescent="0.25">
      <c r="A12" s="431"/>
      <c r="B12" s="430" t="s">
        <v>1740</v>
      </c>
      <c r="C12" s="448"/>
      <c r="D12" s="429">
        <f t="shared" ref="D12:H12" si="2">C12-D11</f>
        <v>0</v>
      </c>
      <c r="E12" s="429">
        <f t="shared" si="2"/>
        <v>0</v>
      </c>
      <c r="F12" s="429">
        <f t="shared" si="2"/>
        <v>0</v>
      </c>
      <c r="G12" s="429">
        <f t="shared" si="2"/>
        <v>0</v>
      </c>
      <c r="H12" s="429">
        <f t="shared" si="2"/>
        <v>0</v>
      </c>
    </row>
    <row r="13" spans="1:8" x14ac:dyDescent="0.25">
      <c r="A13" s="431"/>
      <c r="B13" s="430" t="s">
        <v>1741</v>
      </c>
      <c r="C13" s="451">
        <v>0.115</v>
      </c>
      <c r="D13" s="452">
        <f>C13</f>
        <v>0.115</v>
      </c>
      <c r="E13" s="453">
        <f t="shared" ref="E13:H13" si="3">D13</f>
        <v>0.115</v>
      </c>
      <c r="F13" s="453">
        <f t="shared" si="3"/>
        <v>0.115</v>
      </c>
      <c r="G13" s="453">
        <f t="shared" si="3"/>
        <v>0.115</v>
      </c>
      <c r="H13" s="453">
        <f t="shared" si="3"/>
        <v>0.115</v>
      </c>
    </row>
    <row r="14" spans="1:8" x14ac:dyDescent="0.25">
      <c r="A14" s="431"/>
      <c r="B14" s="430"/>
      <c r="C14" s="447"/>
      <c r="D14" s="430"/>
    </row>
    <row r="15" spans="1:8" x14ac:dyDescent="0.25">
      <c r="A15" s="431"/>
      <c r="B15" s="433" t="s">
        <v>1743</v>
      </c>
      <c r="C15" s="447"/>
      <c r="D15" s="430"/>
    </row>
    <row r="16" spans="1:8" x14ac:dyDescent="0.25">
      <c r="A16" s="431"/>
      <c r="B16" s="430" t="s">
        <v>1739</v>
      </c>
      <c r="C16" s="448">
        <v>0</v>
      </c>
      <c r="D16" s="449"/>
      <c r="E16" s="449"/>
      <c r="F16" s="449"/>
      <c r="G16" s="449"/>
      <c r="H16" s="449"/>
    </row>
    <row r="17" spans="1:8" x14ac:dyDescent="0.25">
      <c r="A17" s="431"/>
      <c r="B17" s="430" t="s">
        <v>1740</v>
      </c>
      <c r="C17" s="448"/>
      <c r="D17" s="430">
        <f>C17-D16</f>
        <v>0</v>
      </c>
      <c r="E17" s="429">
        <f t="shared" ref="E17:H17" si="4">D17-E16</f>
        <v>0</v>
      </c>
      <c r="F17" s="429">
        <f t="shared" si="4"/>
        <v>0</v>
      </c>
      <c r="G17" s="429">
        <f t="shared" si="4"/>
        <v>0</v>
      </c>
      <c r="H17" s="429">
        <f t="shared" si="4"/>
        <v>0</v>
      </c>
    </row>
    <row r="18" spans="1:8" x14ac:dyDescent="0.25">
      <c r="A18" s="431"/>
      <c r="B18" s="430" t="s">
        <v>1741</v>
      </c>
      <c r="C18" s="451">
        <v>3.5000000000000003E-2</v>
      </c>
      <c r="D18" s="452">
        <f>C18</f>
        <v>3.5000000000000003E-2</v>
      </c>
      <c r="E18" s="453">
        <f t="shared" ref="E18:H18" si="5">D18</f>
        <v>3.5000000000000003E-2</v>
      </c>
      <c r="F18" s="453">
        <f t="shared" si="5"/>
        <v>3.5000000000000003E-2</v>
      </c>
      <c r="G18" s="453">
        <f t="shared" si="5"/>
        <v>3.5000000000000003E-2</v>
      </c>
      <c r="H18" s="453">
        <f t="shared" si="5"/>
        <v>3.5000000000000003E-2</v>
      </c>
    </row>
    <row r="19" spans="1:8" x14ac:dyDescent="0.25">
      <c r="A19" s="431"/>
      <c r="B19" s="430"/>
      <c r="C19" s="447"/>
      <c r="D19" s="430"/>
    </row>
    <row r="20" spans="1:8" x14ac:dyDescent="0.25">
      <c r="A20" s="431"/>
      <c r="B20" s="433" t="s">
        <v>1744</v>
      </c>
      <c r="C20" s="447"/>
      <c r="D20" s="430"/>
    </row>
    <row r="21" spans="1:8" x14ac:dyDescent="0.25">
      <c r="A21" s="431"/>
      <c r="B21" s="430" t="s">
        <v>1739</v>
      </c>
      <c r="C21" s="448">
        <v>0</v>
      </c>
      <c r="D21" s="449">
        <v>0</v>
      </c>
      <c r="E21" s="450"/>
      <c r="F21" s="450"/>
      <c r="G21" s="450"/>
      <c r="H21" s="450"/>
    </row>
    <row r="22" spans="1:8" x14ac:dyDescent="0.25">
      <c r="A22" s="431"/>
      <c r="B22" s="430" t="s">
        <v>1740</v>
      </c>
      <c r="C22" s="448"/>
      <c r="D22" s="430">
        <f t="shared" ref="D22:H22" si="6">C22-D21</f>
        <v>0</v>
      </c>
      <c r="E22" s="429">
        <f t="shared" si="6"/>
        <v>0</v>
      </c>
      <c r="F22" s="429">
        <f t="shared" si="6"/>
        <v>0</v>
      </c>
      <c r="G22" s="429">
        <f t="shared" si="6"/>
        <v>0</v>
      </c>
      <c r="H22" s="429">
        <f t="shared" si="6"/>
        <v>0</v>
      </c>
    </row>
    <row r="23" spans="1:8" x14ac:dyDescent="0.25">
      <c r="A23" s="431"/>
      <c r="B23" s="430" t="s">
        <v>1741</v>
      </c>
      <c r="C23" s="451">
        <v>0.1075</v>
      </c>
      <c r="D23" s="452">
        <f>C23</f>
        <v>0.1075</v>
      </c>
      <c r="E23" s="453">
        <f t="shared" ref="E23:H23" si="7">D23</f>
        <v>0.1075</v>
      </c>
      <c r="F23" s="453">
        <f t="shared" si="7"/>
        <v>0.1075</v>
      </c>
      <c r="G23" s="453">
        <f t="shared" si="7"/>
        <v>0.1075</v>
      </c>
      <c r="H23" s="453">
        <f t="shared" si="7"/>
        <v>0.1075</v>
      </c>
    </row>
    <row r="24" spans="1:8" x14ac:dyDescent="0.25">
      <c r="A24" s="431"/>
      <c r="B24" s="430"/>
      <c r="C24" s="447"/>
      <c r="D24" s="430"/>
    </row>
    <row r="25" spans="1:8" x14ac:dyDescent="0.25">
      <c r="A25" s="431"/>
      <c r="B25" s="433" t="s">
        <v>1745</v>
      </c>
      <c r="C25" s="447"/>
      <c r="D25" s="430"/>
    </row>
    <row r="26" spans="1:8" x14ac:dyDescent="0.25">
      <c r="A26" s="431"/>
      <c r="B26" s="430" t="s">
        <v>1739</v>
      </c>
      <c r="C26" s="448">
        <v>0</v>
      </c>
      <c r="D26" s="449"/>
      <c r="E26" s="449"/>
      <c r="F26" s="449"/>
      <c r="G26" s="449"/>
      <c r="H26" s="449"/>
    </row>
    <row r="27" spans="1:8" x14ac:dyDescent="0.25">
      <c r="A27" s="431"/>
      <c r="B27" s="430" t="s">
        <v>1740</v>
      </c>
      <c r="C27" s="448"/>
      <c r="D27" s="430">
        <f>C27-D26</f>
        <v>0</v>
      </c>
      <c r="E27" s="429">
        <f t="shared" ref="E27:H27" si="8">D27-E26</f>
        <v>0</v>
      </c>
      <c r="F27" s="429">
        <f t="shared" si="8"/>
        <v>0</v>
      </c>
      <c r="G27" s="429">
        <f t="shared" si="8"/>
        <v>0</v>
      </c>
      <c r="H27" s="429">
        <f t="shared" si="8"/>
        <v>0</v>
      </c>
    </row>
    <row r="28" spans="1:8" x14ac:dyDescent="0.25">
      <c r="A28" s="431"/>
      <c r="B28" s="430" t="s">
        <v>1741</v>
      </c>
      <c r="C28" s="451">
        <v>3.5000000000000003E-2</v>
      </c>
      <c r="D28" s="452">
        <f>C28</f>
        <v>3.5000000000000003E-2</v>
      </c>
      <c r="E28" s="453">
        <f t="shared" ref="E28:H28" si="9">D28</f>
        <v>3.5000000000000003E-2</v>
      </c>
      <c r="F28" s="453">
        <f t="shared" si="9"/>
        <v>3.5000000000000003E-2</v>
      </c>
      <c r="G28" s="453">
        <f t="shared" si="9"/>
        <v>3.5000000000000003E-2</v>
      </c>
      <c r="H28" s="453">
        <f t="shared" si="9"/>
        <v>3.5000000000000003E-2</v>
      </c>
    </row>
    <row r="29" spans="1:8" x14ac:dyDescent="0.25">
      <c r="A29" s="431"/>
      <c r="B29" s="430"/>
      <c r="C29" s="447"/>
      <c r="D29" s="430"/>
    </row>
    <row r="30" spans="1:8" x14ac:dyDescent="0.25">
      <c r="A30" s="431"/>
      <c r="B30" s="433" t="s">
        <v>1746</v>
      </c>
      <c r="C30" s="447"/>
      <c r="D30" s="430"/>
    </row>
    <row r="31" spans="1:8" x14ac:dyDescent="0.25">
      <c r="A31" s="431"/>
      <c r="B31" s="430" t="s">
        <v>1739</v>
      </c>
      <c r="C31" s="448">
        <v>0</v>
      </c>
      <c r="D31" s="449">
        <v>0</v>
      </c>
      <c r="E31" s="450">
        <v>0</v>
      </c>
      <c r="F31" s="450"/>
      <c r="G31" s="450"/>
      <c r="H31" s="450"/>
    </row>
    <row r="32" spans="1:8" x14ac:dyDescent="0.25">
      <c r="A32" s="431"/>
      <c r="B32" s="430" t="s">
        <v>1740</v>
      </c>
      <c r="C32" s="448">
        <v>0</v>
      </c>
      <c r="D32" s="430">
        <v>0</v>
      </c>
      <c r="E32" s="429">
        <f t="shared" ref="E32:H32" si="10">D32-E31</f>
        <v>0</v>
      </c>
      <c r="F32" s="429">
        <f t="shared" si="10"/>
        <v>0</v>
      </c>
      <c r="G32" s="429">
        <f t="shared" si="10"/>
        <v>0</v>
      </c>
      <c r="H32" s="429">
        <f t="shared" si="10"/>
        <v>0</v>
      </c>
    </row>
    <row r="33" spans="1:8" x14ac:dyDescent="0.25">
      <c r="A33" s="431"/>
      <c r="B33" s="430" t="s">
        <v>1741</v>
      </c>
      <c r="C33" s="451">
        <v>0</v>
      </c>
      <c r="D33" s="452">
        <v>0.1075</v>
      </c>
      <c r="E33" s="453">
        <f t="shared" ref="E33:H33" si="11">D33</f>
        <v>0.1075</v>
      </c>
      <c r="F33" s="453">
        <f t="shared" si="11"/>
        <v>0.1075</v>
      </c>
      <c r="G33" s="453">
        <f t="shared" si="11"/>
        <v>0.1075</v>
      </c>
      <c r="H33" s="453">
        <f t="shared" si="11"/>
        <v>0.1075</v>
      </c>
    </row>
    <row r="34" spans="1:8" ht="13.8" thickBot="1" x14ac:dyDescent="0.3">
      <c r="A34" s="431"/>
      <c r="B34" s="430"/>
      <c r="C34" s="447"/>
      <c r="D34" s="430"/>
    </row>
    <row r="35" spans="1:8" ht="18" thickBot="1" x14ac:dyDescent="0.3">
      <c r="A35" s="431"/>
      <c r="B35" s="302"/>
      <c r="C35" s="302"/>
      <c r="D35" s="302"/>
      <c r="E35" s="302"/>
      <c r="F35" s="302"/>
      <c r="G35" s="302"/>
      <c r="H35" s="302"/>
    </row>
    <row r="36" spans="1:8" x14ac:dyDescent="0.25">
      <c r="A36" s="431"/>
      <c r="B36" s="435" t="s">
        <v>1747</v>
      </c>
      <c r="C36" s="447"/>
      <c r="D36" s="430"/>
    </row>
    <row r="37" spans="1:8" x14ac:dyDescent="0.25">
      <c r="A37" s="431"/>
      <c r="B37" s="433" t="s">
        <v>1748</v>
      </c>
      <c r="C37" s="447"/>
      <c r="D37" s="430"/>
    </row>
    <row r="38" spans="1:8" x14ac:dyDescent="0.25">
      <c r="A38" s="431"/>
      <c r="B38" s="430" t="s">
        <v>1739</v>
      </c>
      <c r="C38" s="448">
        <v>0</v>
      </c>
      <c r="D38" s="449">
        <v>0</v>
      </c>
      <c r="E38" s="450">
        <v>0</v>
      </c>
      <c r="F38" s="450">
        <v>0</v>
      </c>
      <c r="G38" s="450">
        <v>0</v>
      </c>
      <c r="H38" s="450">
        <v>0</v>
      </c>
    </row>
    <row r="39" spans="1:8" x14ac:dyDescent="0.25">
      <c r="A39" s="431"/>
      <c r="B39" s="430" t="s">
        <v>1740</v>
      </c>
      <c r="C39" s="448">
        <v>0</v>
      </c>
      <c r="D39" s="430">
        <f>C39-D38</f>
        <v>0</v>
      </c>
      <c r="E39" s="429">
        <f t="shared" ref="E39:H39" si="12">D39-E38</f>
        <v>0</v>
      </c>
      <c r="F39" s="429">
        <f t="shared" si="12"/>
        <v>0</v>
      </c>
      <c r="G39" s="429">
        <f t="shared" si="12"/>
        <v>0</v>
      </c>
      <c r="H39" s="429">
        <f t="shared" si="12"/>
        <v>0</v>
      </c>
    </row>
    <row r="40" spans="1:8" x14ac:dyDescent="0.25">
      <c r="A40" s="431"/>
      <c r="B40" s="430" t="s">
        <v>1741</v>
      </c>
      <c r="C40" s="451">
        <v>0</v>
      </c>
      <c r="D40" s="452">
        <f>C40</f>
        <v>0</v>
      </c>
      <c r="E40" s="453">
        <f t="shared" ref="E40:H40" si="13">D40</f>
        <v>0</v>
      </c>
      <c r="F40" s="453">
        <f t="shared" si="13"/>
        <v>0</v>
      </c>
      <c r="G40" s="453">
        <f t="shared" si="13"/>
        <v>0</v>
      </c>
      <c r="H40" s="453">
        <f t="shared" si="13"/>
        <v>0</v>
      </c>
    </row>
    <row r="41" spans="1:8" x14ac:dyDescent="0.25">
      <c r="A41" s="431"/>
      <c r="B41" s="430"/>
      <c r="C41" s="447"/>
      <c r="D41" s="430"/>
    </row>
    <row r="42" spans="1:8" x14ac:dyDescent="0.25">
      <c r="A42" s="431"/>
      <c r="B42" s="433" t="s">
        <v>1749</v>
      </c>
      <c r="C42" s="447"/>
      <c r="D42" s="430"/>
    </row>
    <row r="43" spans="1:8" x14ac:dyDescent="0.25">
      <c r="A43" s="431"/>
      <c r="B43" s="430" t="s">
        <v>1739</v>
      </c>
      <c r="C43" s="448">
        <v>0</v>
      </c>
      <c r="D43" s="449">
        <v>0</v>
      </c>
      <c r="E43" s="450">
        <v>0</v>
      </c>
      <c r="F43" s="450">
        <v>0</v>
      </c>
      <c r="G43" s="450">
        <v>0</v>
      </c>
      <c r="H43" s="450">
        <v>0</v>
      </c>
    </row>
    <row r="44" spans="1:8" x14ac:dyDescent="0.25">
      <c r="A44" s="431"/>
      <c r="B44" s="430" t="s">
        <v>1740</v>
      </c>
      <c r="C44" s="448">
        <v>0</v>
      </c>
      <c r="D44" s="430">
        <f>C44-D43</f>
        <v>0</v>
      </c>
      <c r="E44" s="429">
        <f t="shared" ref="E44:H44" si="14">D44-E43</f>
        <v>0</v>
      </c>
      <c r="F44" s="429">
        <f t="shared" si="14"/>
        <v>0</v>
      </c>
      <c r="G44" s="429">
        <f t="shared" si="14"/>
        <v>0</v>
      </c>
      <c r="H44" s="429">
        <f t="shared" si="14"/>
        <v>0</v>
      </c>
    </row>
    <row r="45" spans="1:8" x14ac:dyDescent="0.25">
      <c r="A45" s="431"/>
      <c r="B45" s="430" t="s">
        <v>1741</v>
      </c>
      <c r="C45" s="451">
        <v>0</v>
      </c>
      <c r="D45" s="452">
        <f>C45</f>
        <v>0</v>
      </c>
      <c r="E45" s="453">
        <f t="shared" ref="E45:H45" si="15">D45</f>
        <v>0</v>
      </c>
      <c r="F45" s="453">
        <f t="shared" si="15"/>
        <v>0</v>
      </c>
      <c r="G45" s="453">
        <f t="shared" si="15"/>
        <v>0</v>
      </c>
      <c r="H45" s="453">
        <f t="shared" si="15"/>
        <v>0</v>
      </c>
    </row>
    <row r="46" spans="1:8" x14ac:dyDescent="0.25">
      <c r="A46" s="431"/>
      <c r="B46" s="430"/>
      <c r="C46" s="447"/>
      <c r="D46" s="430"/>
    </row>
    <row r="47" spans="1:8" x14ac:dyDescent="0.25">
      <c r="A47" s="431"/>
      <c r="B47" s="433" t="s">
        <v>1750</v>
      </c>
      <c r="C47" s="447"/>
      <c r="D47" s="430"/>
    </row>
    <row r="48" spans="1:8" x14ac:dyDescent="0.25">
      <c r="A48" s="431"/>
      <c r="B48" s="430" t="s">
        <v>1739</v>
      </c>
      <c r="C48" s="448">
        <v>0</v>
      </c>
      <c r="D48" s="449">
        <v>0</v>
      </c>
      <c r="E48" s="450">
        <v>0</v>
      </c>
      <c r="F48" s="450">
        <v>0</v>
      </c>
      <c r="G48" s="450">
        <v>0</v>
      </c>
      <c r="H48" s="450">
        <v>0</v>
      </c>
    </row>
    <row r="49" spans="1:15" x14ac:dyDescent="0.25">
      <c r="A49" s="431"/>
      <c r="B49" s="430" t="s">
        <v>1740</v>
      </c>
      <c r="C49" s="448">
        <v>0</v>
      </c>
      <c r="D49" s="430">
        <f>C49-D48</f>
        <v>0</v>
      </c>
      <c r="E49" s="429">
        <f t="shared" ref="E49:H49" si="16">D49-E48</f>
        <v>0</v>
      </c>
      <c r="F49" s="429">
        <f t="shared" si="16"/>
        <v>0</v>
      </c>
      <c r="G49" s="429">
        <f t="shared" si="16"/>
        <v>0</v>
      </c>
      <c r="H49" s="429">
        <f t="shared" si="16"/>
        <v>0</v>
      </c>
    </row>
    <row r="50" spans="1:15" x14ac:dyDescent="0.25">
      <c r="A50" s="431"/>
      <c r="B50" s="430" t="s">
        <v>1741</v>
      </c>
      <c r="C50" s="451">
        <v>0</v>
      </c>
      <c r="D50" s="452">
        <f>C50</f>
        <v>0</v>
      </c>
      <c r="E50" s="453">
        <f t="shared" ref="E50:H50" si="17">D50</f>
        <v>0</v>
      </c>
      <c r="F50" s="453">
        <f t="shared" si="17"/>
        <v>0</v>
      </c>
      <c r="G50" s="453">
        <f t="shared" si="17"/>
        <v>0</v>
      </c>
      <c r="H50" s="453">
        <f t="shared" si="17"/>
        <v>0</v>
      </c>
    </row>
    <row r="51" spans="1:15" ht="13.8" thickBot="1" x14ac:dyDescent="0.3">
      <c r="A51" s="431"/>
      <c r="B51" s="430"/>
      <c r="C51" s="447"/>
      <c r="D51" s="430"/>
    </row>
    <row r="52" spans="1:15" ht="18" thickBot="1" x14ac:dyDescent="0.3">
      <c r="A52" s="431"/>
      <c r="B52" s="302"/>
      <c r="C52" s="302"/>
      <c r="D52" s="302"/>
      <c r="E52" s="302"/>
      <c r="F52" s="302"/>
      <c r="G52" s="302"/>
      <c r="H52" s="302"/>
    </row>
    <row r="53" spans="1:15" s="428" customFormat="1" ht="13.8" thickBot="1" x14ac:dyDescent="0.3">
      <c r="A53" s="431"/>
      <c r="C53" s="454"/>
      <c r="I53" s="429"/>
      <c r="J53" s="429"/>
      <c r="K53" s="429"/>
      <c r="L53" s="429"/>
      <c r="M53" s="429"/>
      <c r="N53" s="429"/>
      <c r="O53" s="429"/>
    </row>
    <row r="54" spans="1:15" ht="26.25" customHeight="1" thickBot="1" x14ac:dyDescent="0.3">
      <c r="A54" s="431"/>
      <c r="B54" s="302" t="s">
        <v>1759</v>
      </c>
      <c r="C54" s="302"/>
      <c r="D54" s="302"/>
      <c r="E54" s="302"/>
      <c r="F54" s="302"/>
      <c r="G54" s="302"/>
      <c r="H54" s="302"/>
    </row>
    <row r="55" spans="1:15" ht="18" thickBot="1" x14ac:dyDescent="0.3">
      <c r="A55" s="431"/>
      <c r="B55" s="302" t="s">
        <v>2925</v>
      </c>
      <c r="C55" s="436">
        <f>C3</f>
        <v>2019</v>
      </c>
      <c r="D55" s="436" t="e">
        <f t="shared" ref="D55:H55" si="18">D3</f>
        <v>#REF!</v>
      </c>
      <c r="E55" s="436" t="e">
        <f t="shared" si="18"/>
        <v>#REF!</v>
      </c>
      <c r="F55" s="436" t="e">
        <f t="shared" si="18"/>
        <v>#REF!</v>
      </c>
      <c r="G55" s="436" t="e">
        <f t="shared" si="18"/>
        <v>#REF!</v>
      </c>
      <c r="H55" s="436" t="e">
        <f t="shared" si="18"/>
        <v>#REF!</v>
      </c>
    </row>
    <row r="56" spans="1:15" x14ac:dyDescent="0.25">
      <c r="A56" s="431"/>
      <c r="B56" s="433" t="s">
        <v>1760</v>
      </c>
      <c r="C56" s="447"/>
      <c r="D56" s="430"/>
    </row>
    <row r="57" spans="1:15" x14ac:dyDescent="0.25">
      <c r="A57" s="431"/>
      <c r="B57" s="430" t="s">
        <v>1761</v>
      </c>
      <c r="C57" s="455"/>
      <c r="D57" s="456">
        <v>0</v>
      </c>
      <c r="E57" s="457">
        <f t="shared" ref="E57:H57" si="19">D62</f>
        <v>0</v>
      </c>
      <c r="F57" s="457">
        <f t="shared" si="19"/>
        <v>0</v>
      </c>
      <c r="G57" s="457">
        <f t="shared" si="19"/>
        <v>0</v>
      </c>
      <c r="H57" s="457">
        <f t="shared" si="19"/>
        <v>0</v>
      </c>
    </row>
    <row r="58" spans="1:15" x14ac:dyDescent="0.25">
      <c r="A58" s="431"/>
      <c r="B58" s="430" t="s">
        <v>1762</v>
      </c>
      <c r="C58" s="455"/>
      <c r="D58" s="457">
        <f t="shared" ref="D58:H58" si="20">D61-D60-D59</f>
        <v>0</v>
      </c>
      <c r="E58" s="457">
        <f t="shared" si="20"/>
        <v>0</v>
      </c>
      <c r="F58" s="457">
        <f t="shared" si="20"/>
        <v>0</v>
      </c>
      <c r="G58" s="457">
        <f t="shared" si="20"/>
        <v>0</v>
      </c>
      <c r="H58" s="457">
        <f t="shared" si="20"/>
        <v>0</v>
      </c>
    </row>
    <row r="59" spans="1:15" x14ac:dyDescent="0.25">
      <c r="A59" s="431"/>
      <c r="B59" s="430" t="s">
        <v>1763</v>
      </c>
      <c r="C59" s="455"/>
      <c r="D59" s="458">
        <v>0</v>
      </c>
      <c r="E59" s="458">
        <v>0</v>
      </c>
      <c r="F59" s="458">
        <v>0</v>
      </c>
      <c r="G59" s="458">
        <v>0</v>
      </c>
      <c r="H59" s="458">
        <v>0</v>
      </c>
    </row>
    <row r="60" spans="1:15" x14ac:dyDescent="0.25">
      <c r="A60" s="431"/>
      <c r="B60" s="430" t="s">
        <v>1764</v>
      </c>
      <c r="C60" s="455"/>
      <c r="D60" s="458">
        <v>0</v>
      </c>
      <c r="E60" s="459">
        <v>0</v>
      </c>
      <c r="F60" s="459">
        <v>0</v>
      </c>
      <c r="G60" s="459">
        <v>0</v>
      </c>
      <c r="H60" s="459">
        <v>0</v>
      </c>
    </row>
    <row r="61" spans="1:15" x14ac:dyDescent="0.25">
      <c r="A61" s="431"/>
      <c r="B61" s="430" t="s">
        <v>1765</v>
      </c>
      <c r="C61" s="455"/>
      <c r="D61" s="458">
        <v>0</v>
      </c>
      <c r="E61" s="458">
        <v>0</v>
      </c>
      <c r="F61" s="458">
        <v>0</v>
      </c>
      <c r="G61" s="458">
        <v>0</v>
      </c>
      <c r="H61" s="458">
        <v>0</v>
      </c>
    </row>
    <row r="62" spans="1:15" x14ac:dyDescent="0.25">
      <c r="A62" s="431"/>
      <c r="B62" s="430" t="s">
        <v>1766</v>
      </c>
      <c r="C62" s="460">
        <v>0</v>
      </c>
      <c r="D62" s="456">
        <f t="shared" ref="D62:H62" si="21">D57-D58</f>
        <v>0</v>
      </c>
      <c r="E62" s="457">
        <f t="shared" si="21"/>
        <v>0</v>
      </c>
      <c r="F62" s="457">
        <f t="shared" si="21"/>
        <v>0</v>
      </c>
      <c r="G62" s="457">
        <f t="shared" si="21"/>
        <v>0</v>
      </c>
      <c r="H62" s="457">
        <f t="shared" si="21"/>
        <v>0</v>
      </c>
    </row>
    <row r="63" spans="1:15" x14ac:dyDescent="0.25">
      <c r="A63" s="431"/>
      <c r="B63" s="430" t="s">
        <v>1767</v>
      </c>
      <c r="C63" s="461">
        <v>0</v>
      </c>
      <c r="D63" s="430"/>
    </row>
    <row r="64" spans="1:15" x14ac:dyDescent="0.25">
      <c r="A64" s="431"/>
      <c r="B64" s="430"/>
      <c r="C64" s="447"/>
      <c r="D64" s="430"/>
    </row>
    <row r="65" spans="1:15" x14ac:dyDescent="0.25">
      <c r="A65" s="431"/>
      <c r="B65" s="433" t="s">
        <v>1768</v>
      </c>
      <c r="C65" s="447"/>
      <c r="D65" s="430"/>
    </row>
    <row r="66" spans="1:15" x14ac:dyDescent="0.25">
      <c r="A66" s="431"/>
      <c r="B66" s="430" t="s">
        <v>1761</v>
      </c>
      <c r="C66" s="455"/>
      <c r="D66" s="456">
        <f>C71</f>
        <v>0</v>
      </c>
      <c r="E66" s="457">
        <f t="shared" ref="E66:H66" si="22">D71</f>
        <v>0</v>
      </c>
      <c r="F66" s="457">
        <f t="shared" si="22"/>
        <v>0</v>
      </c>
      <c r="G66" s="457">
        <f t="shared" si="22"/>
        <v>0</v>
      </c>
      <c r="H66" s="457">
        <f t="shared" si="22"/>
        <v>0</v>
      </c>
    </row>
    <row r="67" spans="1:15" x14ac:dyDescent="0.25">
      <c r="A67" s="431"/>
      <c r="B67" s="430" t="s">
        <v>1762</v>
      </c>
      <c r="C67" s="455"/>
      <c r="D67" s="458">
        <v>0</v>
      </c>
      <c r="E67" s="457">
        <f t="shared" ref="E67:H67" si="23">E70-E69-E68</f>
        <v>0</v>
      </c>
      <c r="F67" s="457">
        <f t="shared" si="23"/>
        <v>0</v>
      </c>
      <c r="G67" s="457">
        <f t="shared" si="23"/>
        <v>0</v>
      </c>
      <c r="H67" s="457">
        <f t="shared" si="23"/>
        <v>0</v>
      </c>
    </row>
    <row r="68" spans="1:15" x14ac:dyDescent="0.25">
      <c r="A68" s="431"/>
      <c r="B68" s="430" t="s">
        <v>1763</v>
      </c>
      <c r="C68" s="455"/>
      <c r="D68" s="458">
        <v>0</v>
      </c>
      <c r="E68" s="457">
        <f t="shared" ref="E68:H68" si="24">E66*$C$72</f>
        <v>0</v>
      </c>
      <c r="F68" s="457">
        <f t="shared" si="24"/>
        <v>0</v>
      </c>
      <c r="G68" s="457">
        <f t="shared" si="24"/>
        <v>0</v>
      </c>
      <c r="H68" s="457">
        <f t="shared" si="24"/>
        <v>0</v>
      </c>
    </row>
    <row r="69" spans="1:15" x14ac:dyDescent="0.25">
      <c r="A69" s="431"/>
      <c r="B69" s="430" t="s">
        <v>1764</v>
      </c>
      <c r="C69" s="455"/>
      <c r="D69" s="458">
        <v>0</v>
      </c>
      <c r="E69" s="459">
        <v>0</v>
      </c>
      <c r="F69" s="459">
        <v>0</v>
      </c>
      <c r="G69" s="459">
        <v>0</v>
      </c>
      <c r="H69" s="459">
        <v>0</v>
      </c>
    </row>
    <row r="70" spans="1:15" x14ac:dyDescent="0.25">
      <c r="A70" s="431"/>
      <c r="B70" s="430" t="s">
        <v>1765</v>
      </c>
      <c r="C70" s="455"/>
      <c r="D70" s="458">
        <v>0</v>
      </c>
      <c r="E70" s="459">
        <v>0</v>
      </c>
      <c r="F70" s="459">
        <v>0</v>
      </c>
      <c r="G70" s="459">
        <v>0</v>
      </c>
      <c r="H70" s="459">
        <v>0</v>
      </c>
    </row>
    <row r="71" spans="1:15" x14ac:dyDescent="0.25">
      <c r="A71" s="431"/>
      <c r="B71" s="430" t="s">
        <v>1766</v>
      </c>
      <c r="C71" s="460">
        <v>0</v>
      </c>
      <c r="D71" s="456">
        <f t="shared" ref="D71:H71" si="25">D66-D67</f>
        <v>0</v>
      </c>
      <c r="E71" s="457">
        <f t="shared" si="25"/>
        <v>0</v>
      </c>
      <c r="F71" s="457">
        <f t="shared" si="25"/>
        <v>0</v>
      </c>
      <c r="G71" s="457">
        <f t="shared" si="25"/>
        <v>0</v>
      </c>
      <c r="H71" s="457">
        <f t="shared" si="25"/>
        <v>0</v>
      </c>
    </row>
    <row r="72" spans="1:15" ht="13.8" thickBot="1" x14ac:dyDescent="0.3">
      <c r="A72" s="431"/>
      <c r="B72" s="430" t="s">
        <v>1767</v>
      </c>
      <c r="C72" s="461">
        <f>IF(D66&gt;0,+D68/D66,0)</f>
        <v>0</v>
      </c>
      <c r="D72" s="430"/>
    </row>
    <row r="73" spans="1:15" ht="18" thickBot="1" x14ac:dyDescent="0.3">
      <c r="A73" s="431"/>
      <c r="B73" s="302"/>
      <c r="C73" s="302"/>
      <c r="D73" s="302"/>
      <c r="E73" s="302"/>
      <c r="F73" s="302"/>
      <c r="G73" s="302"/>
      <c r="H73" s="302"/>
    </row>
    <row r="74" spans="1:15" s="428" customFormat="1" ht="13.8" thickBot="1" x14ac:dyDescent="0.3">
      <c r="A74" s="431"/>
      <c r="B74" s="434"/>
      <c r="C74" s="462"/>
      <c r="D74" s="434"/>
      <c r="E74" s="434"/>
      <c r="F74" s="434"/>
      <c r="G74" s="434"/>
      <c r="H74" s="434"/>
      <c r="I74" s="429"/>
      <c r="J74" s="429"/>
      <c r="K74" s="429"/>
      <c r="L74" s="429"/>
      <c r="M74" s="429"/>
      <c r="N74" s="429"/>
      <c r="O74" s="429"/>
    </row>
    <row r="75" spans="1:15" ht="24.75" customHeight="1" thickBot="1" x14ac:dyDescent="0.3">
      <c r="A75" s="431"/>
      <c r="B75" s="302" t="s">
        <v>1778</v>
      </c>
      <c r="C75" s="302"/>
      <c r="D75" s="302"/>
      <c r="E75" s="302"/>
      <c r="F75" s="302"/>
      <c r="G75" s="302"/>
      <c r="H75" s="302"/>
    </row>
    <row r="76" spans="1:15" ht="18" thickBot="1" x14ac:dyDescent="0.3">
      <c r="A76" s="431"/>
      <c r="B76" s="302" t="s">
        <v>2925</v>
      </c>
      <c r="C76" s="436">
        <f>C55</f>
        <v>2019</v>
      </c>
      <c r="D76" s="436" t="e">
        <f t="shared" ref="D76:H76" si="26">D55</f>
        <v>#REF!</v>
      </c>
      <c r="E76" s="436" t="e">
        <f t="shared" si="26"/>
        <v>#REF!</v>
      </c>
      <c r="F76" s="436" t="e">
        <f t="shared" si="26"/>
        <v>#REF!</v>
      </c>
      <c r="G76" s="436" t="e">
        <f t="shared" si="26"/>
        <v>#REF!</v>
      </c>
      <c r="H76" s="436" t="e">
        <f t="shared" si="26"/>
        <v>#REF!</v>
      </c>
    </row>
    <row r="77" spans="1:15" x14ac:dyDescent="0.25">
      <c r="A77" s="431"/>
      <c r="B77" s="430" t="s">
        <v>1751</v>
      </c>
      <c r="C77" s="463">
        <f>C6+C11+C16+C21+C26+C31</f>
        <v>0</v>
      </c>
      <c r="D77" s="464">
        <f t="shared" ref="D77:H77" si="27">D6+D11+D16+D21+D26+D31</f>
        <v>0</v>
      </c>
      <c r="E77" s="464">
        <f t="shared" si="27"/>
        <v>0</v>
      </c>
      <c r="F77" s="464">
        <f t="shared" si="27"/>
        <v>0</v>
      </c>
      <c r="G77" s="464">
        <f t="shared" si="27"/>
        <v>0</v>
      </c>
      <c r="H77" s="464">
        <f t="shared" si="27"/>
        <v>0</v>
      </c>
    </row>
    <row r="78" spans="1:15" x14ac:dyDescent="0.25">
      <c r="A78" s="431"/>
      <c r="B78" s="430" t="s">
        <v>1752</v>
      </c>
      <c r="C78" s="463">
        <f>C38+C43+C48</f>
        <v>0</v>
      </c>
      <c r="D78" s="464">
        <f t="shared" ref="D78:H78" si="28">D38+D43+D48</f>
        <v>0</v>
      </c>
      <c r="E78" s="465">
        <f t="shared" si="28"/>
        <v>0</v>
      </c>
      <c r="F78" s="465">
        <f t="shared" si="28"/>
        <v>0</v>
      </c>
      <c r="G78" s="465">
        <f t="shared" si="28"/>
        <v>0</v>
      </c>
      <c r="H78" s="465">
        <f t="shared" si="28"/>
        <v>0</v>
      </c>
    </row>
    <row r="79" spans="1:15" x14ac:dyDescent="0.25">
      <c r="A79" s="431"/>
      <c r="B79" s="430" t="s">
        <v>1769</v>
      </c>
      <c r="C79" s="463">
        <v>0</v>
      </c>
      <c r="D79" s="464">
        <f>D58</f>
        <v>0</v>
      </c>
      <c r="E79" s="464">
        <f>E58</f>
        <v>0</v>
      </c>
      <c r="F79" s="464">
        <f>F58</f>
        <v>0</v>
      </c>
      <c r="G79" s="464">
        <f>G58</f>
        <v>0</v>
      </c>
      <c r="H79" s="464">
        <f>H58</f>
        <v>0</v>
      </c>
    </row>
    <row r="80" spans="1:15" x14ac:dyDescent="0.25">
      <c r="A80" s="431"/>
      <c r="B80" s="430" t="s">
        <v>1753</v>
      </c>
      <c r="C80" s="463">
        <v>0</v>
      </c>
      <c r="D80" s="464">
        <f>D7+D12+D17+D22+D27+D32</f>
        <v>0</v>
      </c>
      <c r="E80" s="464">
        <f t="shared" ref="E80:H80" si="29">E7+E12+E17+E22+E27+E32</f>
        <v>0</v>
      </c>
      <c r="F80" s="464">
        <f t="shared" si="29"/>
        <v>0</v>
      </c>
      <c r="G80" s="464">
        <f t="shared" si="29"/>
        <v>0</v>
      </c>
      <c r="H80" s="464">
        <f t="shared" si="29"/>
        <v>0</v>
      </c>
    </row>
    <row r="81" spans="1:15" x14ac:dyDescent="0.25">
      <c r="A81" s="431"/>
      <c r="B81" s="430" t="s">
        <v>1754</v>
      </c>
      <c r="C81" s="463">
        <f>C39+C44+C49</f>
        <v>0</v>
      </c>
      <c r="D81" s="464">
        <f t="shared" ref="D81:H81" si="30">D39+D44+D49</f>
        <v>0</v>
      </c>
      <c r="E81" s="465">
        <f t="shared" si="30"/>
        <v>0</v>
      </c>
      <c r="F81" s="465">
        <f t="shared" si="30"/>
        <v>0</v>
      </c>
      <c r="G81" s="465">
        <f t="shared" si="30"/>
        <v>0</v>
      </c>
      <c r="H81" s="465">
        <f t="shared" si="30"/>
        <v>0</v>
      </c>
    </row>
    <row r="82" spans="1:15" x14ac:dyDescent="0.25">
      <c r="A82" s="431"/>
      <c r="B82" s="430" t="s">
        <v>1770</v>
      </c>
      <c r="C82" s="463">
        <v>0</v>
      </c>
      <c r="D82" s="464">
        <f t="shared" ref="D82:H82" si="31">D62</f>
        <v>0</v>
      </c>
      <c r="E82" s="464">
        <f t="shared" si="31"/>
        <v>0</v>
      </c>
      <c r="F82" s="464">
        <f t="shared" si="31"/>
        <v>0</v>
      </c>
      <c r="G82" s="464">
        <f t="shared" si="31"/>
        <v>0</v>
      </c>
      <c r="H82" s="464">
        <f t="shared" si="31"/>
        <v>0</v>
      </c>
    </row>
    <row r="83" spans="1:15" x14ac:dyDescent="0.25">
      <c r="A83" s="431"/>
      <c r="B83" s="430"/>
      <c r="C83" s="466" t="s">
        <v>114</v>
      </c>
      <c r="D83" s="467" t="s">
        <v>114</v>
      </c>
      <c r="E83" s="468" t="s">
        <v>114</v>
      </c>
      <c r="F83" s="468" t="s">
        <v>114</v>
      </c>
      <c r="G83" s="468" t="s">
        <v>114</v>
      </c>
      <c r="H83" s="468" t="s">
        <v>114</v>
      </c>
    </row>
    <row r="84" spans="1:15" x14ac:dyDescent="0.25">
      <c r="A84" s="431"/>
      <c r="B84" s="430" t="s">
        <v>1755</v>
      </c>
      <c r="C84" s="463">
        <f>SUM(C77:C83)</f>
        <v>0</v>
      </c>
      <c r="D84" s="464">
        <f t="shared" ref="D84:H84" si="32">SUM(D77:D83)</f>
        <v>0</v>
      </c>
      <c r="E84" s="465">
        <f t="shared" si="32"/>
        <v>0</v>
      </c>
      <c r="F84" s="465">
        <f t="shared" si="32"/>
        <v>0</v>
      </c>
      <c r="G84" s="465">
        <f t="shared" si="32"/>
        <v>0</v>
      </c>
      <c r="H84" s="465">
        <f t="shared" si="32"/>
        <v>0</v>
      </c>
    </row>
    <row r="85" spans="1:15" x14ac:dyDescent="0.25">
      <c r="A85" s="431"/>
      <c r="B85" s="430"/>
      <c r="C85" s="463"/>
      <c r="D85" s="464"/>
      <c r="E85" s="465"/>
      <c r="F85" s="465"/>
      <c r="G85" s="465"/>
      <c r="H85" s="465"/>
    </row>
    <row r="86" spans="1:15" ht="13.8" thickBot="1" x14ac:dyDescent="0.3">
      <c r="A86" s="431"/>
      <c r="B86" s="430" t="s">
        <v>1771</v>
      </c>
      <c r="C86" s="463">
        <v>0</v>
      </c>
      <c r="D86" s="464">
        <v>0</v>
      </c>
      <c r="E86" s="465"/>
      <c r="F86" s="465"/>
      <c r="G86" s="465"/>
      <c r="H86" s="465"/>
    </row>
    <row r="87" spans="1:15" ht="18" thickBot="1" x14ac:dyDescent="0.3">
      <c r="A87" s="431"/>
      <c r="B87" s="302"/>
      <c r="C87" s="302"/>
      <c r="D87" s="302"/>
      <c r="E87" s="302"/>
      <c r="F87" s="302"/>
      <c r="G87" s="302"/>
      <c r="H87" s="302"/>
    </row>
    <row r="88" spans="1:15" s="428" customFormat="1" ht="13.8" thickBot="1" x14ac:dyDescent="0.3">
      <c r="A88" s="431"/>
      <c r="C88" s="469"/>
      <c r="D88" s="470"/>
      <c r="E88" s="470"/>
      <c r="F88" s="470"/>
      <c r="G88" s="470"/>
      <c r="H88" s="470"/>
      <c r="I88" s="429"/>
      <c r="J88" s="429"/>
      <c r="K88" s="429"/>
      <c r="L88" s="429"/>
      <c r="M88" s="429"/>
      <c r="N88" s="429"/>
      <c r="O88" s="429"/>
    </row>
    <row r="89" spans="1:15" ht="24" customHeight="1" thickBot="1" x14ac:dyDescent="0.3">
      <c r="A89" s="431"/>
      <c r="B89" s="302" t="s">
        <v>1779</v>
      </c>
      <c r="C89" s="302"/>
      <c r="D89" s="302"/>
      <c r="E89" s="302"/>
      <c r="F89" s="302"/>
      <c r="G89" s="302"/>
      <c r="H89" s="302"/>
    </row>
    <row r="90" spans="1:15" ht="18" thickBot="1" x14ac:dyDescent="0.3">
      <c r="A90" s="431"/>
      <c r="B90" s="302" t="s">
        <v>2925</v>
      </c>
      <c r="C90" s="302"/>
      <c r="D90" s="436" t="e">
        <f>D76</f>
        <v>#REF!</v>
      </c>
      <c r="E90" s="436" t="e">
        <f t="shared" ref="E90:H90" si="33">E76</f>
        <v>#REF!</v>
      </c>
      <c r="F90" s="436" t="e">
        <f t="shared" si="33"/>
        <v>#REF!</v>
      </c>
      <c r="G90" s="436" t="e">
        <f t="shared" si="33"/>
        <v>#REF!</v>
      </c>
      <c r="H90" s="436" t="e">
        <f t="shared" si="33"/>
        <v>#REF!</v>
      </c>
    </row>
    <row r="91" spans="1:15" x14ac:dyDescent="0.25">
      <c r="A91" s="431"/>
      <c r="B91" s="430" t="str">
        <f>B5</f>
        <v>SENIOR #1</v>
      </c>
      <c r="C91" s="463"/>
      <c r="D91" s="464">
        <f>(D6+D7+(C6/2))*D8</f>
        <v>0</v>
      </c>
      <c r="E91" s="465">
        <f t="shared" ref="E91:H91" si="34">(E6+E7+(D6/2))*E8</f>
        <v>0</v>
      </c>
      <c r="F91" s="465">
        <f t="shared" si="34"/>
        <v>0</v>
      </c>
      <c r="G91" s="465">
        <f t="shared" si="34"/>
        <v>0</v>
      </c>
      <c r="H91" s="465">
        <f t="shared" si="34"/>
        <v>0</v>
      </c>
    </row>
    <row r="92" spans="1:15" x14ac:dyDescent="0.25">
      <c r="A92" s="431"/>
      <c r="B92" s="430" t="str">
        <f>B10</f>
        <v>SENIOR #2</v>
      </c>
      <c r="C92" s="463"/>
      <c r="D92" s="464">
        <f>(D11+D12+(C11/2))*D13</f>
        <v>0</v>
      </c>
      <c r="E92" s="465">
        <f t="shared" ref="E92:H92" si="35">(E11+E12+(D11/2))*E13</f>
        <v>0</v>
      </c>
      <c r="F92" s="465">
        <f t="shared" si="35"/>
        <v>0</v>
      </c>
      <c r="G92" s="465">
        <f t="shared" si="35"/>
        <v>0</v>
      </c>
      <c r="H92" s="465">
        <f t="shared" si="35"/>
        <v>0</v>
      </c>
    </row>
    <row r="93" spans="1:15" x14ac:dyDescent="0.25">
      <c r="A93" s="431"/>
      <c r="B93" s="430" t="str">
        <f>B15</f>
        <v>SENIOR #3</v>
      </c>
      <c r="C93" s="463"/>
      <c r="D93" s="464">
        <f>(+D16+D17+(C16/2))*D18</f>
        <v>0</v>
      </c>
      <c r="E93" s="465">
        <f t="shared" ref="E93:H93" si="36">(+E16+E17+(D16/2))*E18</f>
        <v>0</v>
      </c>
      <c r="F93" s="465">
        <f t="shared" si="36"/>
        <v>0</v>
      </c>
      <c r="G93" s="465">
        <f t="shared" si="36"/>
        <v>0</v>
      </c>
      <c r="H93" s="465">
        <f t="shared" si="36"/>
        <v>0</v>
      </c>
    </row>
    <row r="94" spans="1:15" x14ac:dyDescent="0.25">
      <c r="A94" s="431"/>
      <c r="B94" s="430" t="str">
        <f>B20</f>
        <v>SENIOR #4</v>
      </c>
      <c r="C94" s="463"/>
      <c r="D94" s="464">
        <f>(+D21+D22+(C21/2))*D23</f>
        <v>0</v>
      </c>
      <c r="E94" s="465">
        <f t="shared" ref="E94:H94" si="37">(+E21+E22+(D21/2))*E23</f>
        <v>0</v>
      </c>
      <c r="F94" s="465">
        <f t="shared" si="37"/>
        <v>0</v>
      </c>
      <c r="G94" s="465">
        <f t="shared" si="37"/>
        <v>0</v>
      </c>
      <c r="H94" s="465">
        <f t="shared" si="37"/>
        <v>0</v>
      </c>
    </row>
    <row r="95" spans="1:15" x14ac:dyDescent="0.25">
      <c r="A95" s="431"/>
      <c r="B95" s="430" t="str">
        <f>B25</f>
        <v>SENIOR #5</v>
      </c>
      <c r="C95" s="463"/>
      <c r="D95" s="464">
        <f>(+D26+D27+(C26/2))*D28</f>
        <v>0</v>
      </c>
      <c r="E95" s="465">
        <f t="shared" ref="E95:H95" si="38">(+E26+E27+(D26/2))*E28</f>
        <v>0</v>
      </c>
      <c r="F95" s="465">
        <f t="shared" si="38"/>
        <v>0</v>
      </c>
      <c r="G95" s="465">
        <f t="shared" si="38"/>
        <v>0</v>
      </c>
      <c r="H95" s="465">
        <f t="shared" si="38"/>
        <v>0</v>
      </c>
    </row>
    <row r="96" spans="1:15" x14ac:dyDescent="0.25">
      <c r="A96" s="431"/>
      <c r="B96" s="430" t="str">
        <f>B30</f>
        <v>SENIOR #6</v>
      </c>
      <c r="C96" s="463"/>
      <c r="D96" s="464">
        <f>(+D31+D32+(C31/2))*D33</f>
        <v>0</v>
      </c>
      <c r="E96" s="465">
        <f t="shared" ref="E96:H96" si="39">(+E31+E32+(D31/2))*E33</f>
        <v>0</v>
      </c>
      <c r="F96" s="465">
        <f t="shared" si="39"/>
        <v>0</v>
      </c>
      <c r="G96" s="465">
        <f t="shared" si="39"/>
        <v>0</v>
      </c>
      <c r="H96" s="465">
        <f t="shared" si="39"/>
        <v>0</v>
      </c>
    </row>
    <row r="97" spans="1:8" x14ac:dyDescent="0.25">
      <c r="A97" s="431"/>
      <c r="B97" s="430" t="str">
        <f>B37</f>
        <v>SUBORDINATED #1</v>
      </c>
      <c r="C97" s="463"/>
      <c r="D97" s="464">
        <f>(+D38+D39+(C38/2))*D40</f>
        <v>0</v>
      </c>
      <c r="E97" s="465">
        <f t="shared" ref="E97:H97" si="40">(+E38+E39+(D38/2))*E40</f>
        <v>0</v>
      </c>
      <c r="F97" s="465">
        <f t="shared" si="40"/>
        <v>0</v>
      </c>
      <c r="G97" s="465">
        <f t="shared" si="40"/>
        <v>0</v>
      </c>
      <c r="H97" s="465">
        <f t="shared" si="40"/>
        <v>0</v>
      </c>
    </row>
    <row r="98" spans="1:8" x14ac:dyDescent="0.25">
      <c r="A98" s="431"/>
      <c r="B98" s="430" t="str">
        <f>B42</f>
        <v>SUBORDINATED #2</v>
      </c>
      <c r="C98" s="463"/>
      <c r="D98" s="464">
        <f>(D43+D44+(C43/2))*D45</f>
        <v>0</v>
      </c>
      <c r="E98" s="465">
        <f t="shared" ref="E98:H98" si="41">(E43+E44+(D43/2))*E45</f>
        <v>0</v>
      </c>
      <c r="F98" s="465">
        <f t="shared" si="41"/>
        <v>0</v>
      </c>
      <c r="G98" s="465">
        <f t="shared" si="41"/>
        <v>0</v>
      </c>
      <c r="H98" s="465">
        <f t="shared" si="41"/>
        <v>0</v>
      </c>
    </row>
    <row r="99" spans="1:8" x14ac:dyDescent="0.25">
      <c r="A99" s="431"/>
      <c r="B99" s="430" t="str">
        <f>B47</f>
        <v>SUBORDINATED #3</v>
      </c>
      <c r="C99" s="463"/>
      <c r="D99" s="464">
        <f>(D48+D49+(C48/2))*D50</f>
        <v>0</v>
      </c>
      <c r="E99" s="465">
        <f t="shared" ref="E99:H99" si="42">(E48+E49+(D48/2))*E50</f>
        <v>0</v>
      </c>
      <c r="F99" s="465">
        <f t="shared" si="42"/>
        <v>0</v>
      </c>
      <c r="G99" s="465">
        <f t="shared" si="42"/>
        <v>0</v>
      </c>
      <c r="H99" s="465">
        <f t="shared" si="42"/>
        <v>0</v>
      </c>
    </row>
    <row r="100" spans="1:8" x14ac:dyDescent="0.25">
      <c r="A100" s="431"/>
      <c r="B100" s="430" t="str">
        <f>B56</f>
        <v>CAPITAL LEASE #1</v>
      </c>
      <c r="C100" s="463"/>
      <c r="D100" s="464">
        <f t="shared" ref="D100:H100" si="43">D59</f>
        <v>0</v>
      </c>
      <c r="E100" s="465">
        <f t="shared" si="43"/>
        <v>0</v>
      </c>
      <c r="F100" s="465">
        <f t="shared" si="43"/>
        <v>0</v>
      </c>
      <c r="G100" s="465">
        <f t="shared" si="43"/>
        <v>0</v>
      </c>
      <c r="H100" s="465">
        <f t="shared" si="43"/>
        <v>0</v>
      </c>
    </row>
    <row r="101" spans="1:8" x14ac:dyDescent="0.25">
      <c r="A101" s="431"/>
      <c r="B101" s="430" t="str">
        <f>B65</f>
        <v>CAPITAL LEASE #2</v>
      </c>
      <c r="C101" s="463"/>
      <c r="D101" s="464">
        <f t="shared" ref="D101:H101" si="44">D68</f>
        <v>0</v>
      </c>
      <c r="E101" s="465">
        <f t="shared" si="44"/>
        <v>0</v>
      </c>
      <c r="F101" s="465">
        <f t="shared" si="44"/>
        <v>0</v>
      </c>
      <c r="G101" s="465">
        <f t="shared" si="44"/>
        <v>0</v>
      </c>
      <c r="H101" s="465">
        <f t="shared" si="44"/>
        <v>0</v>
      </c>
    </row>
    <row r="102" spans="1:8" x14ac:dyDescent="0.25">
      <c r="A102" s="431"/>
      <c r="B102" s="430" t="s">
        <v>1756</v>
      </c>
      <c r="C102" s="463"/>
      <c r="D102" s="464">
        <f t="shared" ref="D102:H102" si="45">D107</f>
        <v>0</v>
      </c>
      <c r="E102" s="465">
        <f t="shared" si="45"/>
        <v>0</v>
      </c>
      <c r="F102" s="465">
        <f t="shared" si="45"/>
        <v>0</v>
      </c>
      <c r="G102" s="465">
        <f t="shared" si="45"/>
        <v>0</v>
      </c>
      <c r="H102" s="465">
        <f t="shared" si="45"/>
        <v>0</v>
      </c>
    </row>
    <row r="103" spans="1:8" x14ac:dyDescent="0.25">
      <c r="A103" s="431"/>
      <c r="B103" s="430"/>
      <c r="C103" s="466"/>
      <c r="D103" s="467" t="s">
        <v>114</v>
      </c>
      <c r="E103" s="468" t="s">
        <v>114</v>
      </c>
      <c r="F103" s="468" t="s">
        <v>114</v>
      </c>
      <c r="G103" s="468" t="s">
        <v>114</v>
      </c>
      <c r="H103" s="468" t="s">
        <v>114</v>
      </c>
    </row>
    <row r="104" spans="1:8" ht="13.8" thickBot="1" x14ac:dyDescent="0.3">
      <c r="A104" s="431"/>
      <c r="B104" s="430" t="s">
        <v>1757</v>
      </c>
      <c r="C104" s="463"/>
      <c r="D104" s="464">
        <f t="shared" ref="D104:H104" si="46">SUM(D91:D103)</f>
        <v>0</v>
      </c>
      <c r="E104" s="465">
        <f t="shared" si="46"/>
        <v>0</v>
      </c>
      <c r="F104" s="465">
        <f t="shared" si="46"/>
        <v>0</v>
      </c>
      <c r="G104" s="465">
        <f t="shared" si="46"/>
        <v>0</v>
      </c>
      <c r="H104" s="465">
        <f t="shared" si="46"/>
        <v>0</v>
      </c>
    </row>
    <row r="105" spans="1:8" ht="18" thickBot="1" x14ac:dyDescent="0.3">
      <c r="A105" s="431"/>
      <c r="B105" s="302"/>
      <c r="C105" s="302"/>
      <c r="D105" s="302"/>
      <c r="E105" s="302"/>
      <c r="F105" s="302"/>
      <c r="G105" s="302"/>
      <c r="H105" s="302"/>
    </row>
    <row r="106" spans="1:8" x14ac:dyDescent="0.25">
      <c r="C106" s="464"/>
      <c r="D106" s="465"/>
      <c r="E106" s="465"/>
      <c r="F106" s="465"/>
      <c r="G106" s="465"/>
      <c r="H106" s="465"/>
    </row>
    <row r="107" spans="1:8" x14ac:dyDescent="0.25">
      <c r="B107" s="428" t="s">
        <v>1756</v>
      </c>
      <c r="C107" s="428"/>
      <c r="D107" s="471">
        <v>0</v>
      </c>
      <c r="E107" s="471">
        <v>0</v>
      </c>
      <c r="F107" s="471">
        <v>0</v>
      </c>
      <c r="G107" s="471">
        <v>0</v>
      </c>
      <c r="H107" s="471">
        <v>0</v>
      </c>
    </row>
    <row r="108" spans="1:8" x14ac:dyDescent="0.25">
      <c r="C108" s="465"/>
      <c r="D108" s="465"/>
      <c r="E108" s="465"/>
      <c r="F108" s="465"/>
      <c r="G108" s="465"/>
      <c r="H108" s="465"/>
    </row>
  </sheetData>
  <printOptions horizontalCentered="1" verticalCentered="1"/>
  <pageMargins left="0" right="0" top="0.25" bottom="0.73" header="0" footer="0.59"/>
  <pageSetup paperSize="9" scale="53" orientation="portrait" horizontalDpi="300" verticalDpi="300" r:id="rId1"/>
  <headerFooter alignWithMargins="0">
    <oddFooter>&amp;L&amp;"Times New Roman,Regular"&amp;10&amp;F
&amp;D&amp;C&amp;"Times New Roman,Regular"&amp;10&amp;A&amp;R&amp;"Times New Roman,Regular"&amp;10&amp;P</oddFooter>
  </headerFooter>
  <rowBreaks count="4" manualBreakCount="4">
    <brk id="1" min="69" max="72" man="1"/>
    <brk id="72" min="104" max="117" man="1"/>
    <brk id="8929" min="7" max="490" man="1"/>
    <brk id="34416" min="6" max="47085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"/>
  <dimension ref="A1:IO175"/>
  <sheetViews>
    <sheetView topLeftCell="A112" workbookViewId="0">
      <selection activeCell="AI52" sqref="AI52"/>
    </sheetView>
  </sheetViews>
  <sheetFormatPr defaultRowHeight="13.2" x14ac:dyDescent="0.25"/>
  <cols>
    <col min="1" max="1" width="3.5546875" customWidth="1"/>
    <col min="2" max="2" width="23.21875" bestFit="1" customWidth="1"/>
    <col min="3" max="3" width="15.77734375" customWidth="1"/>
    <col min="4" max="4" width="21.21875" customWidth="1"/>
    <col min="5" max="5" width="15" customWidth="1"/>
    <col min="6" max="8" width="9.44140625" bestFit="1" customWidth="1"/>
    <col min="10" max="10" width="9.21875" style="28"/>
  </cols>
  <sheetData>
    <row r="1" spans="1:12" x14ac:dyDescent="0.25">
      <c r="A1" s="35"/>
      <c r="J1"/>
    </row>
    <row r="2" spans="1:12" ht="15.6" x14ac:dyDescent="0.3">
      <c r="B2" s="36" t="s">
        <v>315</v>
      </c>
      <c r="C2" s="37"/>
      <c r="D2" s="37"/>
      <c r="E2" s="15"/>
      <c r="H2" s="36" t="s">
        <v>316</v>
      </c>
      <c r="J2"/>
    </row>
    <row r="3" spans="1:12" x14ac:dyDescent="0.25">
      <c r="E3" s="15"/>
      <c r="J3"/>
    </row>
    <row r="4" spans="1:12" ht="25.5" customHeight="1" x14ac:dyDescent="0.25">
      <c r="B4" s="147" t="s">
        <v>237</v>
      </c>
      <c r="C4" s="70" t="s">
        <v>317</v>
      </c>
      <c r="D4" s="148" t="s">
        <v>238</v>
      </c>
      <c r="E4" s="41"/>
      <c r="F4" s="42"/>
      <c r="H4" s="38" t="s">
        <v>237</v>
      </c>
      <c r="I4" s="39" t="s">
        <v>317</v>
      </c>
      <c r="J4" s="40" t="s">
        <v>238</v>
      </c>
      <c r="K4" s="41"/>
      <c r="L4" s="42"/>
    </row>
    <row r="5" spans="1:12" x14ac:dyDescent="0.25">
      <c r="A5" s="28"/>
      <c r="B5" s="143"/>
      <c r="C5" s="72">
        <v>10</v>
      </c>
      <c r="D5" s="144" t="s">
        <v>318</v>
      </c>
      <c r="E5" s="18"/>
      <c r="F5" s="14"/>
      <c r="H5" s="141">
        <v>0</v>
      </c>
      <c r="I5" s="43" t="s">
        <v>313</v>
      </c>
      <c r="J5" s="44" t="s">
        <v>314</v>
      </c>
      <c r="K5" s="18" t="s">
        <v>241</v>
      </c>
    </row>
    <row r="6" spans="1:12" x14ac:dyDescent="0.25">
      <c r="A6" s="28"/>
      <c r="B6" s="143"/>
      <c r="C6" s="72">
        <v>9</v>
      </c>
      <c r="D6" s="144" t="s">
        <v>318</v>
      </c>
      <c r="E6" s="18"/>
      <c r="F6" s="14"/>
      <c r="H6" s="25">
        <v>10</v>
      </c>
      <c r="I6" s="43" t="s">
        <v>239</v>
      </c>
      <c r="J6" s="44" t="s">
        <v>240</v>
      </c>
      <c r="K6" s="18" t="s">
        <v>241</v>
      </c>
    </row>
    <row r="7" spans="1:12" x14ac:dyDescent="0.25">
      <c r="A7" s="28"/>
      <c r="B7" s="143"/>
      <c r="C7" s="72">
        <v>8</v>
      </c>
      <c r="D7" s="144" t="s">
        <v>318</v>
      </c>
      <c r="E7" s="18"/>
      <c r="F7" s="14"/>
      <c r="H7" s="25">
        <v>20</v>
      </c>
      <c r="I7" s="43">
        <v>5</v>
      </c>
      <c r="J7" s="44" t="s">
        <v>242</v>
      </c>
      <c r="K7" s="18" t="s">
        <v>245</v>
      </c>
    </row>
    <row r="8" spans="1:12" x14ac:dyDescent="0.25">
      <c r="A8" s="28"/>
      <c r="B8" s="141">
        <v>0</v>
      </c>
      <c r="C8" s="145">
        <v>7</v>
      </c>
      <c r="D8" s="44" t="s">
        <v>328</v>
      </c>
      <c r="E8" s="18"/>
      <c r="F8" s="14"/>
      <c r="H8" s="25">
        <v>30</v>
      </c>
      <c r="I8" s="43" t="s">
        <v>243</v>
      </c>
      <c r="J8" s="44" t="s">
        <v>244</v>
      </c>
      <c r="K8" s="18" t="s">
        <v>245</v>
      </c>
    </row>
    <row r="9" spans="1:12" x14ac:dyDescent="0.25">
      <c r="A9" s="28"/>
      <c r="B9" s="94">
        <v>46.5</v>
      </c>
      <c r="C9" s="145">
        <v>6</v>
      </c>
      <c r="D9" s="44" t="s">
        <v>329</v>
      </c>
      <c r="E9" s="18"/>
      <c r="F9" s="14"/>
      <c r="H9" s="25">
        <v>40</v>
      </c>
      <c r="I9" s="43" t="s">
        <v>246</v>
      </c>
      <c r="J9" s="44" t="s">
        <v>247</v>
      </c>
      <c r="K9" s="18" t="s">
        <v>245</v>
      </c>
    </row>
    <row r="10" spans="1:12" x14ac:dyDescent="0.25">
      <c r="A10" s="28"/>
      <c r="B10" s="94">
        <v>54</v>
      </c>
      <c r="C10" s="145">
        <v>5</v>
      </c>
      <c r="D10" s="44" t="s">
        <v>330</v>
      </c>
      <c r="E10" s="18"/>
      <c r="F10" s="14"/>
      <c r="H10" s="25">
        <v>50</v>
      </c>
      <c r="I10" s="43">
        <v>4</v>
      </c>
      <c r="J10" s="44" t="s">
        <v>248</v>
      </c>
      <c r="K10" s="18" t="s">
        <v>245</v>
      </c>
    </row>
    <row r="11" spans="1:12" x14ac:dyDescent="0.25">
      <c r="A11" s="28"/>
      <c r="B11" s="94">
        <v>59.25</v>
      </c>
      <c r="C11" s="145">
        <v>4</v>
      </c>
      <c r="D11" s="44" t="s">
        <v>331</v>
      </c>
      <c r="E11" s="18"/>
      <c r="F11" s="14"/>
      <c r="H11" s="25">
        <v>60</v>
      </c>
      <c r="I11" s="43" t="s">
        <v>249</v>
      </c>
      <c r="J11" s="44" t="s">
        <v>250</v>
      </c>
      <c r="K11" s="18" t="s">
        <v>245</v>
      </c>
    </row>
    <row r="12" spans="1:12" x14ac:dyDescent="0.25">
      <c r="A12" s="28"/>
      <c r="B12" s="94">
        <v>64.5</v>
      </c>
      <c r="C12" s="145">
        <v>3</v>
      </c>
      <c r="D12" s="45" t="s">
        <v>332</v>
      </c>
      <c r="E12" s="18"/>
      <c r="F12" s="14"/>
      <c r="H12" s="25">
        <v>65</v>
      </c>
      <c r="I12" s="43" t="s">
        <v>251</v>
      </c>
      <c r="J12" s="44" t="s">
        <v>252</v>
      </c>
      <c r="K12" s="18"/>
    </row>
    <row r="13" spans="1:12" x14ac:dyDescent="0.25">
      <c r="A13" s="28"/>
      <c r="B13" s="94">
        <v>69</v>
      </c>
      <c r="C13" s="145">
        <v>2</v>
      </c>
      <c r="D13" s="46" t="s">
        <v>333</v>
      </c>
      <c r="E13" s="18"/>
      <c r="F13" s="14"/>
      <c r="H13" s="25">
        <v>70</v>
      </c>
      <c r="I13" s="43">
        <v>3</v>
      </c>
      <c r="J13" s="45" t="s">
        <v>253</v>
      </c>
      <c r="K13" s="18"/>
    </row>
    <row r="14" spans="1:12" x14ac:dyDescent="0.25">
      <c r="A14" s="28"/>
      <c r="B14" s="94">
        <v>75</v>
      </c>
      <c r="C14" s="145">
        <v>1</v>
      </c>
      <c r="D14" s="46" t="s">
        <v>334</v>
      </c>
      <c r="E14" s="18"/>
      <c r="F14" s="14"/>
      <c r="H14" s="25">
        <v>75</v>
      </c>
      <c r="I14" s="43" t="s">
        <v>254</v>
      </c>
      <c r="J14" s="46" t="s">
        <v>255</v>
      </c>
      <c r="K14" s="18"/>
    </row>
    <row r="15" spans="1:12" x14ac:dyDescent="0.25">
      <c r="A15" s="28"/>
      <c r="B15" s="94">
        <v>100</v>
      </c>
      <c r="C15" s="145"/>
      <c r="D15" s="44"/>
      <c r="E15" s="18"/>
      <c r="F15" s="14"/>
      <c r="H15" s="25">
        <v>80</v>
      </c>
      <c r="I15" s="43" t="s">
        <v>256</v>
      </c>
      <c r="J15" s="46" t="s">
        <v>257</v>
      </c>
      <c r="K15" s="18"/>
    </row>
    <row r="16" spans="1:12" x14ac:dyDescent="0.25">
      <c r="A16" s="28"/>
      <c r="B16" s="94"/>
      <c r="C16" s="145"/>
      <c r="D16" s="45"/>
      <c r="E16" s="18"/>
      <c r="F16" s="14"/>
      <c r="H16" s="25">
        <v>85</v>
      </c>
      <c r="I16" s="43">
        <v>2</v>
      </c>
      <c r="J16" s="46" t="s">
        <v>258</v>
      </c>
      <c r="K16" s="18"/>
    </row>
    <row r="17" spans="1:249" x14ac:dyDescent="0.25">
      <c r="A17" s="28"/>
      <c r="B17" s="94"/>
      <c r="C17" s="145"/>
      <c r="D17" s="46"/>
      <c r="E17" s="18"/>
      <c r="F17" s="14"/>
      <c r="H17" s="25">
        <v>90</v>
      </c>
      <c r="I17" s="43" t="s">
        <v>259</v>
      </c>
      <c r="J17" s="46" t="s">
        <v>260</v>
      </c>
      <c r="K17" s="18"/>
    </row>
    <row r="18" spans="1:249" x14ac:dyDescent="0.25">
      <c r="A18" s="28"/>
      <c r="B18" s="94"/>
      <c r="C18" s="145"/>
      <c r="D18" s="46"/>
      <c r="E18" s="18"/>
      <c r="F18" s="14"/>
      <c r="H18" s="142">
        <v>95</v>
      </c>
      <c r="I18" s="43">
        <v>1</v>
      </c>
      <c r="J18" s="46" t="s">
        <v>261</v>
      </c>
      <c r="K18" s="15"/>
    </row>
    <row r="19" spans="1:249" x14ac:dyDescent="0.25">
      <c r="A19" s="28"/>
      <c r="B19" s="94"/>
      <c r="C19" s="145"/>
      <c r="D19" s="46"/>
      <c r="E19" s="18"/>
      <c r="F19" s="14"/>
      <c r="H19" s="142">
        <v>100</v>
      </c>
      <c r="I19" s="48"/>
      <c r="J19" s="11"/>
      <c r="K19" s="37"/>
    </row>
    <row r="20" spans="1:249" x14ac:dyDescent="0.25">
      <c r="A20" s="28"/>
      <c r="B20" s="94"/>
      <c r="C20" s="145"/>
      <c r="D20" s="46"/>
      <c r="E20" s="18"/>
      <c r="F20" s="14"/>
    </row>
    <row r="21" spans="1:249" x14ac:dyDescent="0.25">
      <c r="A21" s="28"/>
      <c r="B21" s="142"/>
      <c r="C21" s="145"/>
      <c r="D21" s="46"/>
      <c r="E21" s="18"/>
      <c r="F21" s="14"/>
    </row>
    <row r="22" spans="1:249" x14ac:dyDescent="0.25">
      <c r="B22" s="142"/>
      <c r="C22" s="146"/>
      <c r="D22" s="14"/>
      <c r="E22" s="18"/>
      <c r="F22" s="14"/>
    </row>
    <row r="23" spans="1:249" x14ac:dyDescent="0.25">
      <c r="B23" s="142"/>
      <c r="C23" s="43"/>
      <c r="D23" s="11"/>
      <c r="E23" s="37"/>
      <c r="J23"/>
    </row>
    <row r="24" spans="1:249" x14ac:dyDescent="0.25">
      <c r="B24" s="142"/>
      <c r="C24" s="43"/>
      <c r="D24" s="11"/>
      <c r="E24" s="37"/>
      <c r="J24"/>
    </row>
    <row r="25" spans="1:249" x14ac:dyDescent="0.25">
      <c r="B25" s="142"/>
      <c r="C25" s="43"/>
      <c r="D25" s="11"/>
      <c r="E25" s="37"/>
      <c r="J25"/>
    </row>
    <row r="26" spans="1:249" s="30" customFormat="1" x14ac:dyDescent="0.25">
      <c r="A26"/>
      <c r="B26"/>
      <c r="C26" s="48"/>
      <c r="D26" s="32">
        <v>0</v>
      </c>
      <c r="E26" s="49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f>+D26+1</f>
        <v>1</v>
      </c>
      <c r="L26" s="30">
        <f t="shared" ref="L26:BW26" si="0">+E26+1</f>
        <v>1</v>
      </c>
      <c r="M26" s="30">
        <f t="shared" si="0"/>
        <v>1</v>
      </c>
      <c r="N26" s="30">
        <f t="shared" si="0"/>
        <v>1</v>
      </c>
      <c r="O26" s="30">
        <f t="shared" si="0"/>
        <v>1</v>
      </c>
      <c r="P26" s="30">
        <f t="shared" si="0"/>
        <v>1</v>
      </c>
      <c r="Q26" s="30">
        <f t="shared" si="0"/>
        <v>1</v>
      </c>
      <c r="R26" s="30">
        <f t="shared" si="0"/>
        <v>2</v>
      </c>
      <c r="S26" s="30">
        <f t="shared" si="0"/>
        <v>2</v>
      </c>
      <c r="T26" s="30">
        <f t="shared" si="0"/>
        <v>2</v>
      </c>
      <c r="U26" s="30">
        <f t="shared" si="0"/>
        <v>2</v>
      </c>
      <c r="V26" s="30">
        <f t="shared" si="0"/>
        <v>2</v>
      </c>
      <c r="W26" s="30">
        <f t="shared" si="0"/>
        <v>2</v>
      </c>
      <c r="X26" s="30">
        <f t="shared" si="0"/>
        <v>2</v>
      </c>
      <c r="Y26" s="30">
        <f t="shared" si="0"/>
        <v>3</v>
      </c>
      <c r="Z26" s="30">
        <f t="shared" si="0"/>
        <v>3</v>
      </c>
      <c r="AA26" s="30">
        <f t="shared" si="0"/>
        <v>3</v>
      </c>
      <c r="AB26" s="30">
        <f t="shared" si="0"/>
        <v>3</v>
      </c>
      <c r="AC26" s="30">
        <f t="shared" si="0"/>
        <v>3</v>
      </c>
      <c r="AD26" s="30">
        <f t="shared" si="0"/>
        <v>3</v>
      </c>
      <c r="AE26" s="30">
        <f t="shared" si="0"/>
        <v>3</v>
      </c>
      <c r="AF26" s="30">
        <f t="shared" si="0"/>
        <v>4</v>
      </c>
      <c r="AG26" s="30">
        <f t="shared" si="0"/>
        <v>4</v>
      </c>
      <c r="AH26" s="30">
        <f t="shared" si="0"/>
        <v>4</v>
      </c>
      <c r="AI26" s="30">
        <f t="shared" si="0"/>
        <v>4</v>
      </c>
      <c r="AJ26" s="30">
        <f t="shared" si="0"/>
        <v>4</v>
      </c>
      <c r="AK26" s="30">
        <f t="shared" si="0"/>
        <v>4</v>
      </c>
      <c r="AL26" s="30">
        <f t="shared" si="0"/>
        <v>4</v>
      </c>
      <c r="AM26" s="30">
        <f t="shared" si="0"/>
        <v>5</v>
      </c>
      <c r="AN26" s="30">
        <f t="shared" si="0"/>
        <v>5</v>
      </c>
      <c r="AO26" s="30">
        <f t="shared" si="0"/>
        <v>5</v>
      </c>
      <c r="AP26" s="30">
        <f t="shared" si="0"/>
        <v>5</v>
      </c>
      <c r="AQ26" s="30">
        <f t="shared" si="0"/>
        <v>5</v>
      </c>
      <c r="AR26" s="30">
        <f t="shared" si="0"/>
        <v>5</v>
      </c>
      <c r="AS26" s="30">
        <f t="shared" si="0"/>
        <v>5</v>
      </c>
      <c r="AT26" s="30">
        <f t="shared" si="0"/>
        <v>6</v>
      </c>
      <c r="AU26" s="30">
        <f t="shared" si="0"/>
        <v>6</v>
      </c>
      <c r="AV26" s="30">
        <f t="shared" si="0"/>
        <v>6</v>
      </c>
      <c r="AW26" s="30">
        <f t="shared" si="0"/>
        <v>6</v>
      </c>
      <c r="AX26" s="30">
        <f t="shared" si="0"/>
        <v>6</v>
      </c>
      <c r="AY26" s="30">
        <f t="shared" si="0"/>
        <v>6</v>
      </c>
      <c r="AZ26" s="30">
        <f t="shared" si="0"/>
        <v>6</v>
      </c>
      <c r="BA26" s="30">
        <f t="shared" si="0"/>
        <v>7</v>
      </c>
      <c r="BB26" s="30">
        <f t="shared" si="0"/>
        <v>7</v>
      </c>
      <c r="BC26" s="30">
        <f t="shared" si="0"/>
        <v>7</v>
      </c>
      <c r="BD26" s="30">
        <f t="shared" si="0"/>
        <v>7</v>
      </c>
      <c r="BE26" s="30">
        <f t="shared" si="0"/>
        <v>7</v>
      </c>
      <c r="BF26" s="30">
        <f t="shared" si="0"/>
        <v>7</v>
      </c>
      <c r="BG26" s="30">
        <f t="shared" si="0"/>
        <v>7</v>
      </c>
      <c r="BH26" s="30">
        <f t="shared" si="0"/>
        <v>8</v>
      </c>
      <c r="BI26" s="30">
        <f t="shared" si="0"/>
        <v>8</v>
      </c>
      <c r="BJ26" s="30">
        <f t="shared" si="0"/>
        <v>8</v>
      </c>
      <c r="BK26" s="30">
        <f t="shared" si="0"/>
        <v>8</v>
      </c>
      <c r="BL26" s="30">
        <f t="shared" si="0"/>
        <v>8</v>
      </c>
      <c r="BM26" s="30">
        <f t="shared" si="0"/>
        <v>8</v>
      </c>
      <c r="BN26" s="30">
        <f t="shared" si="0"/>
        <v>8</v>
      </c>
      <c r="BO26" s="30">
        <f t="shared" si="0"/>
        <v>9</v>
      </c>
      <c r="BP26" s="30">
        <f t="shared" si="0"/>
        <v>9</v>
      </c>
      <c r="BQ26" s="30">
        <f t="shared" si="0"/>
        <v>9</v>
      </c>
      <c r="BR26" s="30">
        <f t="shared" si="0"/>
        <v>9</v>
      </c>
      <c r="BS26" s="30">
        <f t="shared" si="0"/>
        <v>9</v>
      </c>
      <c r="BT26" s="30">
        <f t="shared" si="0"/>
        <v>9</v>
      </c>
      <c r="BU26" s="30">
        <f t="shared" si="0"/>
        <v>9</v>
      </c>
      <c r="BV26" s="30">
        <f t="shared" si="0"/>
        <v>10</v>
      </c>
      <c r="BW26" s="30">
        <f t="shared" si="0"/>
        <v>10</v>
      </c>
      <c r="BX26" s="30">
        <f t="shared" ref="BX26:EI26" si="1">+BQ26+1</f>
        <v>10</v>
      </c>
      <c r="BY26" s="30">
        <f t="shared" si="1"/>
        <v>10</v>
      </c>
      <c r="BZ26" s="30">
        <f t="shared" si="1"/>
        <v>10</v>
      </c>
      <c r="CA26" s="30">
        <f t="shared" si="1"/>
        <v>10</v>
      </c>
      <c r="CB26" s="30">
        <f t="shared" si="1"/>
        <v>10</v>
      </c>
      <c r="CC26" s="30">
        <f t="shared" si="1"/>
        <v>11</v>
      </c>
      <c r="CD26" s="30">
        <f t="shared" si="1"/>
        <v>11</v>
      </c>
      <c r="CE26" s="30">
        <f t="shared" si="1"/>
        <v>11</v>
      </c>
      <c r="CF26" s="30">
        <f t="shared" si="1"/>
        <v>11</v>
      </c>
      <c r="CG26" s="30">
        <f t="shared" si="1"/>
        <v>11</v>
      </c>
      <c r="CH26" s="30">
        <f t="shared" si="1"/>
        <v>11</v>
      </c>
      <c r="CI26" s="30">
        <f t="shared" si="1"/>
        <v>11</v>
      </c>
      <c r="CJ26" s="30">
        <f t="shared" si="1"/>
        <v>12</v>
      </c>
      <c r="CK26" s="30">
        <f t="shared" si="1"/>
        <v>12</v>
      </c>
      <c r="CL26" s="30">
        <f t="shared" si="1"/>
        <v>12</v>
      </c>
      <c r="CM26" s="30">
        <f t="shared" si="1"/>
        <v>12</v>
      </c>
      <c r="CN26" s="30">
        <f t="shared" si="1"/>
        <v>12</v>
      </c>
      <c r="CO26" s="30">
        <f t="shared" si="1"/>
        <v>12</v>
      </c>
      <c r="CP26" s="30">
        <f t="shared" si="1"/>
        <v>12</v>
      </c>
      <c r="CQ26" s="30">
        <f t="shared" si="1"/>
        <v>13</v>
      </c>
      <c r="CR26" s="30">
        <f t="shared" si="1"/>
        <v>13</v>
      </c>
      <c r="CS26" s="30">
        <f t="shared" si="1"/>
        <v>13</v>
      </c>
      <c r="CT26" s="30">
        <f t="shared" si="1"/>
        <v>13</v>
      </c>
      <c r="CU26" s="30">
        <f t="shared" si="1"/>
        <v>13</v>
      </c>
      <c r="CV26" s="30">
        <f t="shared" si="1"/>
        <v>13</v>
      </c>
      <c r="CW26" s="30">
        <f t="shared" si="1"/>
        <v>13</v>
      </c>
      <c r="CX26" s="30">
        <f t="shared" si="1"/>
        <v>14</v>
      </c>
      <c r="CY26" s="30">
        <f t="shared" si="1"/>
        <v>14</v>
      </c>
      <c r="CZ26" s="30">
        <f t="shared" si="1"/>
        <v>14</v>
      </c>
      <c r="DA26" s="30">
        <f t="shared" si="1"/>
        <v>14</v>
      </c>
      <c r="DB26" s="30">
        <f t="shared" si="1"/>
        <v>14</v>
      </c>
      <c r="DC26" s="30">
        <f t="shared" si="1"/>
        <v>14</v>
      </c>
      <c r="DD26" s="30">
        <f t="shared" si="1"/>
        <v>14</v>
      </c>
      <c r="DE26" s="30">
        <f t="shared" si="1"/>
        <v>15</v>
      </c>
      <c r="DF26" s="30">
        <f t="shared" si="1"/>
        <v>15</v>
      </c>
      <c r="DG26" s="30">
        <f t="shared" si="1"/>
        <v>15</v>
      </c>
      <c r="DH26" s="30">
        <f t="shared" si="1"/>
        <v>15</v>
      </c>
      <c r="DI26" s="30">
        <f t="shared" si="1"/>
        <v>15</v>
      </c>
      <c r="DJ26" s="30">
        <f t="shared" si="1"/>
        <v>15</v>
      </c>
      <c r="DK26" s="30">
        <f t="shared" si="1"/>
        <v>15</v>
      </c>
      <c r="DL26" s="30">
        <f t="shared" si="1"/>
        <v>16</v>
      </c>
      <c r="DM26" s="30">
        <f t="shared" si="1"/>
        <v>16</v>
      </c>
      <c r="DN26" s="30">
        <f t="shared" si="1"/>
        <v>16</v>
      </c>
      <c r="DO26" s="30">
        <f t="shared" si="1"/>
        <v>16</v>
      </c>
      <c r="DP26" s="30">
        <f t="shared" si="1"/>
        <v>16</v>
      </c>
      <c r="DQ26" s="30">
        <f t="shared" si="1"/>
        <v>16</v>
      </c>
      <c r="DR26" s="30">
        <f t="shared" si="1"/>
        <v>16</v>
      </c>
      <c r="DS26" s="30">
        <f t="shared" si="1"/>
        <v>17</v>
      </c>
      <c r="DT26" s="30">
        <f t="shared" si="1"/>
        <v>17</v>
      </c>
      <c r="DU26" s="30">
        <f t="shared" si="1"/>
        <v>17</v>
      </c>
      <c r="DV26" s="30">
        <f t="shared" si="1"/>
        <v>17</v>
      </c>
      <c r="DW26" s="30">
        <f t="shared" si="1"/>
        <v>17</v>
      </c>
      <c r="DX26" s="30">
        <f t="shared" si="1"/>
        <v>17</v>
      </c>
      <c r="DY26" s="30">
        <f t="shared" si="1"/>
        <v>17</v>
      </c>
      <c r="DZ26" s="30">
        <f t="shared" si="1"/>
        <v>18</v>
      </c>
      <c r="EA26" s="30">
        <f t="shared" si="1"/>
        <v>18</v>
      </c>
      <c r="EB26" s="30">
        <f t="shared" si="1"/>
        <v>18</v>
      </c>
      <c r="EC26" s="30">
        <f t="shared" si="1"/>
        <v>18</v>
      </c>
      <c r="ED26" s="30">
        <f t="shared" si="1"/>
        <v>18</v>
      </c>
      <c r="EE26" s="30">
        <f t="shared" si="1"/>
        <v>18</v>
      </c>
      <c r="EF26" s="30">
        <f t="shared" si="1"/>
        <v>18</v>
      </c>
      <c r="EG26" s="30">
        <f t="shared" si="1"/>
        <v>19</v>
      </c>
      <c r="EH26" s="30">
        <f t="shared" si="1"/>
        <v>19</v>
      </c>
      <c r="EI26" s="30">
        <f t="shared" si="1"/>
        <v>19</v>
      </c>
      <c r="EJ26" s="30">
        <f t="shared" ref="EJ26:GU26" si="2">+EC26+1</f>
        <v>19</v>
      </c>
      <c r="EK26" s="30">
        <f t="shared" si="2"/>
        <v>19</v>
      </c>
      <c r="EL26" s="30">
        <f t="shared" si="2"/>
        <v>19</v>
      </c>
      <c r="EM26" s="30">
        <f t="shared" si="2"/>
        <v>19</v>
      </c>
      <c r="EN26" s="30">
        <f t="shared" si="2"/>
        <v>20</v>
      </c>
      <c r="EO26" s="30">
        <f t="shared" si="2"/>
        <v>20</v>
      </c>
      <c r="EP26" s="30">
        <f t="shared" si="2"/>
        <v>20</v>
      </c>
      <c r="EQ26" s="30">
        <f t="shared" si="2"/>
        <v>20</v>
      </c>
      <c r="ER26" s="30">
        <f t="shared" si="2"/>
        <v>20</v>
      </c>
      <c r="ES26" s="30">
        <f t="shared" si="2"/>
        <v>20</v>
      </c>
      <c r="ET26" s="30">
        <f t="shared" si="2"/>
        <v>20</v>
      </c>
      <c r="EU26" s="30">
        <f t="shared" si="2"/>
        <v>21</v>
      </c>
      <c r="EV26" s="30">
        <f t="shared" si="2"/>
        <v>21</v>
      </c>
      <c r="EW26" s="30">
        <f t="shared" si="2"/>
        <v>21</v>
      </c>
      <c r="EX26" s="30">
        <f t="shared" si="2"/>
        <v>21</v>
      </c>
      <c r="EY26" s="30">
        <f t="shared" si="2"/>
        <v>21</v>
      </c>
      <c r="EZ26" s="30">
        <f t="shared" si="2"/>
        <v>21</v>
      </c>
      <c r="FA26" s="30">
        <f t="shared" si="2"/>
        <v>21</v>
      </c>
      <c r="FB26" s="30">
        <f t="shared" si="2"/>
        <v>22</v>
      </c>
      <c r="FC26" s="30">
        <f t="shared" si="2"/>
        <v>22</v>
      </c>
      <c r="FD26" s="30">
        <f t="shared" si="2"/>
        <v>22</v>
      </c>
      <c r="FE26" s="30">
        <f t="shared" si="2"/>
        <v>22</v>
      </c>
      <c r="FF26" s="30">
        <f t="shared" si="2"/>
        <v>22</v>
      </c>
      <c r="FG26" s="30">
        <f t="shared" si="2"/>
        <v>22</v>
      </c>
      <c r="FH26" s="30">
        <f t="shared" si="2"/>
        <v>22</v>
      </c>
      <c r="FI26" s="30">
        <f t="shared" si="2"/>
        <v>23</v>
      </c>
      <c r="FJ26" s="30">
        <f t="shared" si="2"/>
        <v>23</v>
      </c>
      <c r="FK26" s="30">
        <f t="shared" si="2"/>
        <v>23</v>
      </c>
      <c r="FL26" s="30">
        <f t="shared" si="2"/>
        <v>23</v>
      </c>
      <c r="FM26" s="30">
        <f t="shared" si="2"/>
        <v>23</v>
      </c>
      <c r="FN26" s="30">
        <f t="shared" si="2"/>
        <v>23</v>
      </c>
      <c r="FO26" s="30">
        <f t="shared" si="2"/>
        <v>23</v>
      </c>
      <c r="FP26" s="30">
        <f t="shared" si="2"/>
        <v>24</v>
      </c>
      <c r="FQ26" s="30">
        <f t="shared" si="2"/>
        <v>24</v>
      </c>
      <c r="FR26" s="30">
        <f t="shared" si="2"/>
        <v>24</v>
      </c>
      <c r="FS26" s="30">
        <f t="shared" si="2"/>
        <v>24</v>
      </c>
      <c r="FT26" s="30">
        <f t="shared" si="2"/>
        <v>24</v>
      </c>
      <c r="FU26" s="30">
        <f t="shared" si="2"/>
        <v>24</v>
      </c>
      <c r="FV26" s="30">
        <f t="shared" si="2"/>
        <v>24</v>
      </c>
      <c r="FW26" s="30">
        <f t="shared" si="2"/>
        <v>25</v>
      </c>
      <c r="FX26" s="30">
        <f t="shared" si="2"/>
        <v>25</v>
      </c>
      <c r="FY26" s="30">
        <f t="shared" si="2"/>
        <v>25</v>
      </c>
      <c r="FZ26" s="30">
        <f t="shared" si="2"/>
        <v>25</v>
      </c>
      <c r="GA26" s="30">
        <f t="shared" si="2"/>
        <v>25</v>
      </c>
      <c r="GB26" s="30">
        <f t="shared" si="2"/>
        <v>25</v>
      </c>
      <c r="GC26" s="30">
        <f t="shared" si="2"/>
        <v>25</v>
      </c>
      <c r="GD26" s="30">
        <f t="shared" si="2"/>
        <v>26</v>
      </c>
      <c r="GE26" s="30">
        <f t="shared" si="2"/>
        <v>26</v>
      </c>
      <c r="GF26" s="30">
        <f t="shared" si="2"/>
        <v>26</v>
      </c>
      <c r="GG26" s="30">
        <f t="shared" si="2"/>
        <v>26</v>
      </c>
      <c r="GH26" s="30">
        <f t="shared" si="2"/>
        <v>26</v>
      </c>
      <c r="GI26" s="30">
        <f t="shared" si="2"/>
        <v>26</v>
      </c>
      <c r="GJ26" s="30">
        <f t="shared" si="2"/>
        <v>26</v>
      </c>
      <c r="GK26" s="30">
        <f t="shared" si="2"/>
        <v>27</v>
      </c>
      <c r="GL26" s="30">
        <f t="shared" si="2"/>
        <v>27</v>
      </c>
      <c r="GM26" s="30">
        <f t="shared" si="2"/>
        <v>27</v>
      </c>
      <c r="GN26" s="30">
        <f t="shared" si="2"/>
        <v>27</v>
      </c>
      <c r="GO26" s="30">
        <f t="shared" si="2"/>
        <v>27</v>
      </c>
      <c r="GP26" s="30">
        <f t="shared" si="2"/>
        <v>27</v>
      </c>
      <c r="GQ26" s="30">
        <f t="shared" si="2"/>
        <v>27</v>
      </c>
      <c r="GR26" s="30">
        <f t="shared" si="2"/>
        <v>28</v>
      </c>
      <c r="GS26" s="30">
        <f t="shared" si="2"/>
        <v>28</v>
      </c>
      <c r="GT26" s="30">
        <f t="shared" si="2"/>
        <v>28</v>
      </c>
      <c r="GU26" s="30">
        <f t="shared" si="2"/>
        <v>28</v>
      </c>
      <c r="GV26" s="30">
        <f t="shared" ref="GV26:IO26" si="3">+GO26+1</f>
        <v>28</v>
      </c>
      <c r="GW26" s="30">
        <f t="shared" si="3"/>
        <v>28</v>
      </c>
      <c r="GX26" s="30">
        <f t="shared" si="3"/>
        <v>28</v>
      </c>
      <c r="GY26" s="30">
        <f t="shared" si="3"/>
        <v>29</v>
      </c>
      <c r="GZ26" s="30">
        <f t="shared" si="3"/>
        <v>29</v>
      </c>
      <c r="HA26" s="30">
        <f t="shared" si="3"/>
        <v>29</v>
      </c>
      <c r="HB26" s="30">
        <f t="shared" si="3"/>
        <v>29</v>
      </c>
      <c r="HC26" s="30">
        <f t="shared" si="3"/>
        <v>29</v>
      </c>
      <c r="HD26" s="30">
        <f t="shared" si="3"/>
        <v>29</v>
      </c>
      <c r="HE26" s="30">
        <f t="shared" si="3"/>
        <v>29</v>
      </c>
      <c r="HF26" s="30">
        <f t="shared" si="3"/>
        <v>30</v>
      </c>
      <c r="HG26" s="30">
        <f t="shared" si="3"/>
        <v>30</v>
      </c>
      <c r="HH26" s="30">
        <f t="shared" si="3"/>
        <v>30</v>
      </c>
      <c r="HI26" s="30">
        <f t="shared" si="3"/>
        <v>30</v>
      </c>
      <c r="HJ26" s="30">
        <f t="shared" si="3"/>
        <v>30</v>
      </c>
      <c r="HK26" s="30">
        <f t="shared" si="3"/>
        <v>30</v>
      </c>
      <c r="HL26" s="30">
        <f t="shared" si="3"/>
        <v>30</v>
      </c>
      <c r="HM26" s="30">
        <f t="shared" si="3"/>
        <v>31</v>
      </c>
      <c r="HN26" s="30">
        <f t="shared" si="3"/>
        <v>31</v>
      </c>
      <c r="HO26" s="30">
        <f t="shared" si="3"/>
        <v>31</v>
      </c>
      <c r="HP26" s="30">
        <f t="shared" si="3"/>
        <v>31</v>
      </c>
      <c r="HQ26" s="30">
        <f t="shared" si="3"/>
        <v>31</v>
      </c>
      <c r="HR26" s="30">
        <f t="shared" si="3"/>
        <v>31</v>
      </c>
      <c r="HS26" s="30">
        <f t="shared" si="3"/>
        <v>31</v>
      </c>
      <c r="HT26" s="30">
        <f t="shared" si="3"/>
        <v>32</v>
      </c>
      <c r="HU26" s="30">
        <f t="shared" si="3"/>
        <v>32</v>
      </c>
      <c r="HV26" s="30">
        <f t="shared" si="3"/>
        <v>32</v>
      </c>
      <c r="HW26" s="30">
        <f t="shared" si="3"/>
        <v>32</v>
      </c>
      <c r="HX26" s="30">
        <f t="shared" si="3"/>
        <v>32</v>
      </c>
      <c r="HY26" s="30">
        <f t="shared" si="3"/>
        <v>32</v>
      </c>
      <c r="HZ26" s="30">
        <f t="shared" si="3"/>
        <v>32</v>
      </c>
      <c r="IA26" s="30">
        <f t="shared" si="3"/>
        <v>33</v>
      </c>
      <c r="IB26" s="30">
        <f t="shared" si="3"/>
        <v>33</v>
      </c>
      <c r="IC26" s="30">
        <f t="shared" si="3"/>
        <v>33</v>
      </c>
      <c r="ID26" s="30">
        <f t="shared" si="3"/>
        <v>33</v>
      </c>
      <c r="IE26" s="30">
        <f t="shared" si="3"/>
        <v>33</v>
      </c>
      <c r="IF26" s="30">
        <f t="shared" si="3"/>
        <v>33</v>
      </c>
      <c r="IG26" s="30">
        <f t="shared" si="3"/>
        <v>33</v>
      </c>
      <c r="IH26" s="30">
        <f t="shared" si="3"/>
        <v>34</v>
      </c>
      <c r="II26" s="30">
        <f t="shared" si="3"/>
        <v>34</v>
      </c>
      <c r="IJ26" s="30">
        <f t="shared" si="3"/>
        <v>34</v>
      </c>
      <c r="IK26" s="30">
        <f t="shared" si="3"/>
        <v>34</v>
      </c>
      <c r="IL26" s="30">
        <f t="shared" si="3"/>
        <v>34</v>
      </c>
      <c r="IM26" s="30">
        <f t="shared" si="3"/>
        <v>34</v>
      </c>
      <c r="IN26" s="30">
        <f t="shared" si="3"/>
        <v>34</v>
      </c>
      <c r="IO26" s="30">
        <f t="shared" si="3"/>
        <v>35</v>
      </c>
    </row>
    <row r="27" spans="1:249" x14ac:dyDescent="0.25">
      <c r="F27" s="37"/>
    </row>
    <row r="28" spans="1:249" x14ac:dyDescent="0.25">
      <c r="D28" s="50" t="s">
        <v>262</v>
      </c>
      <c r="E28" s="11" t="s">
        <v>202</v>
      </c>
      <c r="F28" s="51"/>
      <c r="G28" s="52"/>
      <c r="H28" s="50"/>
      <c r="K28" s="53" t="str">
        <f>+D28</f>
        <v>Industry:</v>
      </c>
      <c r="L28" t="s">
        <v>319</v>
      </c>
      <c r="R28" s="53" t="str">
        <f>+K28</f>
        <v>Industry:</v>
      </c>
      <c r="S28" t="s">
        <v>320</v>
      </c>
      <c r="Y28" s="53" t="str">
        <f>+R28</f>
        <v>Industry:</v>
      </c>
      <c r="Z28" t="s">
        <v>321</v>
      </c>
      <c r="AF28" s="53" t="str">
        <f>+Y28</f>
        <v>Industry:</v>
      </c>
      <c r="AG28" t="s">
        <v>322</v>
      </c>
      <c r="AM28" s="53" t="str">
        <f>+AF28</f>
        <v>Industry:</v>
      </c>
      <c r="AN28" t="s">
        <v>324</v>
      </c>
      <c r="AT28" s="53" t="str">
        <f>+AM28</f>
        <v>Industry:</v>
      </c>
      <c r="AU28" t="s">
        <v>325</v>
      </c>
      <c r="BA28" s="53"/>
      <c r="BH28" s="53"/>
      <c r="BO28" s="53"/>
      <c r="BV28" s="53"/>
      <c r="CC28" s="53"/>
      <c r="CJ28" s="53"/>
      <c r="CQ28" s="53"/>
      <c r="CX28" s="53"/>
      <c r="DE28" s="53"/>
      <c r="DL28" s="53"/>
      <c r="DS28" s="53"/>
      <c r="DZ28" s="53"/>
      <c r="EG28" s="53"/>
      <c r="EN28" s="53"/>
      <c r="EU28" s="53"/>
    </row>
    <row r="29" spans="1:249" ht="15.6" x14ac:dyDescent="0.3">
      <c r="B29" s="54" t="s">
        <v>198</v>
      </c>
      <c r="C29" s="55" t="s">
        <v>263</v>
      </c>
      <c r="D29" s="56" t="s">
        <v>264</v>
      </c>
      <c r="E29" s="57" t="s">
        <v>216</v>
      </c>
      <c r="F29" s="29" t="s">
        <v>211</v>
      </c>
      <c r="G29" s="57" t="s">
        <v>219</v>
      </c>
      <c r="H29" s="57" t="s">
        <v>265</v>
      </c>
      <c r="I29" s="57" t="s">
        <v>266</v>
      </c>
      <c r="J29" s="57"/>
      <c r="K29" s="56" t="s">
        <v>264</v>
      </c>
      <c r="L29" s="57" t="s">
        <v>216</v>
      </c>
      <c r="M29" s="29" t="s">
        <v>211</v>
      </c>
      <c r="N29" s="57" t="s">
        <v>219</v>
      </c>
      <c r="O29" s="57" t="s">
        <v>265</v>
      </c>
      <c r="P29" s="57" t="s">
        <v>266</v>
      </c>
      <c r="R29" s="56" t="s">
        <v>264</v>
      </c>
      <c r="S29" s="57" t="s">
        <v>216</v>
      </c>
      <c r="T29" s="29" t="s">
        <v>211</v>
      </c>
      <c r="U29" s="57" t="s">
        <v>219</v>
      </c>
      <c r="V29" s="57" t="s">
        <v>265</v>
      </c>
      <c r="W29" s="57" t="s">
        <v>266</v>
      </c>
      <c r="Y29" s="56" t="s">
        <v>264</v>
      </c>
      <c r="Z29" s="57" t="s">
        <v>216</v>
      </c>
      <c r="AA29" s="29" t="s">
        <v>211</v>
      </c>
      <c r="AB29" s="57" t="s">
        <v>219</v>
      </c>
      <c r="AC29" s="57" t="s">
        <v>265</v>
      </c>
      <c r="AD29" s="57" t="s">
        <v>266</v>
      </c>
      <c r="AF29" s="56" t="s">
        <v>264</v>
      </c>
      <c r="AG29" s="57" t="s">
        <v>216</v>
      </c>
      <c r="AH29" s="29" t="s">
        <v>211</v>
      </c>
      <c r="AI29" s="57" t="s">
        <v>219</v>
      </c>
      <c r="AJ29" s="57" t="s">
        <v>265</v>
      </c>
      <c r="AK29" s="57" t="s">
        <v>266</v>
      </c>
      <c r="AM29" s="56" t="s">
        <v>264</v>
      </c>
      <c r="AN29" s="57" t="s">
        <v>216</v>
      </c>
      <c r="AO29" s="29" t="s">
        <v>211</v>
      </c>
      <c r="AP29" s="57" t="s">
        <v>219</v>
      </c>
      <c r="AQ29" s="57" t="s">
        <v>265</v>
      </c>
      <c r="AR29" s="57" t="s">
        <v>266</v>
      </c>
      <c r="AT29" s="56" t="s">
        <v>264</v>
      </c>
      <c r="AU29" s="57" t="s">
        <v>216</v>
      </c>
      <c r="AV29" s="29" t="s">
        <v>211</v>
      </c>
      <c r="AW29" s="57" t="s">
        <v>219</v>
      </c>
      <c r="AX29" s="57" t="s">
        <v>265</v>
      </c>
      <c r="AY29" s="57" t="s">
        <v>266</v>
      </c>
      <c r="BA29" s="56"/>
      <c r="BB29" s="57"/>
      <c r="BC29" s="29"/>
      <c r="BD29" s="57"/>
      <c r="BE29" s="57"/>
      <c r="BF29" s="57"/>
      <c r="BH29" s="56"/>
      <c r="BI29" s="57"/>
      <c r="BJ29" s="29"/>
      <c r="BK29" s="57"/>
      <c r="BL29" s="57"/>
      <c r="BM29" s="57"/>
      <c r="BO29" s="56"/>
      <c r="BP29" s="57"/>
      <c r="BQ29" s="29"/>
      <c r="BR29" s="57"/>
      <c r="BS29" s="57"/>
      <c r="BT29" s="57"/>
      <c r="BV29" s="56"/>
      <c r="BW29" s="57"/>
      <c r="BX29" s="29"/>
      <c r="BY29" s="57"/>
      <c r="BZ29" s="57"/>
      <c r="CA29" s="57"/>
      <c r="CC29" s="56"/>
      <c r="CD29" s="57"/>
      <c r="CE29" s="29"/>
      <c r="CF29" s="57"/>
      <c r="CG29" s="57"/>
      <c r="CH29" s="57"/>
      <c r="CJ29" s="56"/>
      <c r="CK29" s="57"/>
      <c r="CL29" s="29"/>
      <c r="CM29" s="57"/>
      <c r="CN29" s="57"/>
      <c r="CO29" s="57"/>
      <c r="CQ29" s="56"/>
      <c r="CR29" s="57"/>
      <c r="CS29" s="29"/>
      <c r="CT29" s="57"/>
      <c r="CU29" s="57"/>
      <c r="CV29" s="57"/>
      <c r="CX29" s="56"/>
      <c r="CY29" s="57"/>
      <c r="CZ29" s="29"/>
      <c r="DA29" s="57"/>
      <c r="DB29" s="57"/>
      <c r="DC29" s="57"/>
      <c r="DE29" s="56"/>
      <c r="DF29" s="57"/>
      <c r="DG29" s="29"/>
      <c r="DH29" s="57"/>
      <c r="DI29" s="57"/>
      <c r="DJ29" s="57"/>
      <c r="DL29" s="56"/>
      <c r="DM29" s="57"/>
      <c r="DN29" s="29"/>
      <c r="DO29" s="57"/>
      <c r="DP29" s="57"/>
      <c r="DQ29" s="57"/>
      <c r="DS29" s="56"/>
      <c r="DT29" s="57"/>
      <c r="DU29" s="29"/>
      <c r="DV29" s="57"/>
      <c r="DW29" s="57"/>
      <c r="DX29" s="57"/>
      <c r="DZ29" s="56"/>
      <c r="EA29" s="57"/>
      <c r="EB29" s="29"/>
      <c r="EC29" s="57"/>
      <c r="ED29" s="57"/>
      <c r="EE29" s="57"/>
      <c r="EG29" s="56"/>
      <c r="EH29" s="57"/>
      <c r="EI29" s="29"/>
      <c r="EJ29" s="57"/>
      <c r="EK29" s="57"/>
      <c r="EL29" s="57"/>
      <c r="EN29" s="56"/>
      <c r="EO29" s="57"/>
      <c r="EP29" s="29"/>
      <c r="EQ29" s="57"/>
      <c r="ER29" s="57"/>
      <c r="ES29" s="57"/>
      <c r="EU29" s="53"/>
    </row>
    <row r="30" spans="1:249" s="11" customFormat="1" x14ac:dyDescent="0.25">
      <c r="A30"/>
      <c r="B30" s="58" t="s">
        <v>267</v>
      </c>
      <c r="C30" s="59"/>
      <c r="D30" s="33"/>
      <c r="E30" s="33"/>
      <c r="F30" s="33"/>
      <c r="G30" s="33"/>
      <c r="H30" s="33"/>
      <c r="I30" s="33"/>
      <c r="J30" s="13"/>
      <c r="K30" s="33"/>
      <c r="L30" s="33"/>
      <c r="M30" s="33"/>
      <c r="N30" s="33"/>
      <c r="O30" s="33"/>
      <c r="P30" s="33"/>
      <c r="R30" s="33"/>
      <c r="S30" s="33"/>
      <c r="T30" s="33"/>
      <c r="U30" s="33"/>
      <c r="V30" s="33"/>
      <c r="W30" s="33"/>
      <c r="Y30" s="33"/>
      <c r="Z30" s="33"/>
      <c r="AA30" s="33"/>
      <c r="AB30" s="33"/>
      <c r="AC30" s="33"/>
      <c r="AD30" s="33"/>
      <c r="AF30" s="33"/>
      <c r="AG30" s="33"/>
      <c r="AH30" s="33"/>
      <c r="AI30" s="33"/>
      <c r="AJ30" s="33"/>
      <c r="AK30" s="33"/>
      <c r="AM30" s="33"/>
      <c r="AN30" s="33"/>
      <c r="AO30" s="33"/>
      <c r="AP30" s="33"/>
      <c r="AQ30" s="33"/>
      <c r="AR30" s="33"/>
      <c r="AT30" s="33"/>
      <c r="AU30" s="33"/>
      <c r="AV30" s="33"/>
      <c r="AW30" s="33"/>
      <c r="AX30" s="33"/>
      <c r="AY30" s="33"/>
      <c r="BA30" s="33"/>
      <c r="BB30" s="33"/>
      <c r="BC30" s="33"/>
      <c r="BD30" s="33"/>
      <c r="BE30" s="33"/>
      <c r="BF30" s="33"/>
      <c r="BH30" s="33"/>
      <c r="BI30" s="33"/>
      <c r="BJ30" s="33"/>
      <c r="BK30" s="33"/>
      <c r="BL30" s="33"/>
      <c r="BM30" s="33"/>
      <c r="BO30" s="33"/>
      <c r="BP30" s="33"/>
      <c r="BQ30" s="33"/>
      <c r="BR30" s="33"/>
      <c r="BS30" s="33"/>
      <c r="BT30" s="33"/>
      <c r="BV30" s="33"/>
      <c r="BW30" s="33"/>
      <c r="BX30" s="33"/>
      <c r="BY30" s="33"/>
      <c r="BZ30" s="33"/>
      <c r="CA30" s="33"/>
      <c r="CC30" s="33"/>
      <c r="CD30" s="33"/>
      <c r="CE30" s="33"/>
      <c r="CF30" s="33"/>
      <c r="CG30" s="33"/>
      <c r="CH30" s="33"/>
      <c r="CJ30" s="33"/>
      <c r="CK30" s="33"/>
      <c r="CL30" s="33"/>
      <c r="CM30" s="33"/>
      <c r="CN30" s="33"/>
      <c r="CO30" s="33"/>
      <c r="CQ30" s="33"/>
      <c r="CR30" s="33"/>
      <c r="CS30" s="33"/>
      <c r="CT30" s="33"/>
      <c r="CU30" s="33"/>
      <c r="CV30" s="33"/>
      <c r="CX30" s="33"/>
      <c r="CY30" s="33"/>
      <c r="CZ30" s="33"/>
      <c r="DA30" s="33"/>
      <c r="DB30" s="33"/>
      <c r="DC30" s="33"/>
      <c r="DE30" s="33"/>
      <c r="DF30" s="33"/>
      <c r="DG30" s="33"/>
      <c r="DH30" s="33"/>
      <c r="DI30" s="33"/>
      <c r="DJ30" s="33"/>
      <c r="DL30" s="33"/>
      <c r="DM30" s="33"/>
      <c r="DN30" s="33"/>
      <c r="DO30" s="33"/>
      <c r="DP30" s="33"/>
      <c r="DQ30" s="33"/>
      <c r="DS30" s="33"/>
      <c r="DT30" s="33"/>
      <c r="DU30" s="33"/>
      <c r="DV30" s="33"/>
      <c r="DW30" s="33"/>
      <c r="DX30" s="33"/>
      <c r="DZ30" s="33"/>
      <c r="EA30" s="33"/>
      <c r="EB30" s="33"/>
      <c r="EC30" s="33"/>
      <c r="ED30" s="33"/>
      <c r="EE30" s="33"/>
      <c r="EG30" s="33"/>
      <c r="EH30" s="33"/>
      <c r="EI30" s="33"/>
      <c r="EJ30" s="33"/>
      <c r="EK30" s="33"/>
      <c r="EL30" s="33"/>
      <c r="EN30" s="33"/>
      <c r="EO30" s="33"/>
      <c r="EP30" s="33"/>
      <c r="EQ30" s="33"/>
      <c r="ER30" s="33"/>
      <c r="ES30" s="33"/>
    </row>
    <row r="31" spans="1:249" s="11" customFormat="1" x14ac:dyDescent="0.25">
      <c r="A31"/>
      <c r="B31" s="11" t="s">
        <v>160</v>
      </c>
      <c r="C31" s="173">
        <v>2</v>
      </c>
      <c r="D31" s="84">
        <v>-1000000000</v>
      </c>
      <c r="E31" s="61">
        <v>7.4934234080428985E-2</v>
      </c>
      <c r="F31" s="20">
        <v>0.12234997613494077</v>
      </c>
      <c r="G31" s="61">
        <v>0.18499843678438438</v>
      </c>
      <c r="H31" s="61">
        <v>0.29485097859299825</v>
      </c>
      <c r="I31" s="62" t="s">
        <v>266</v>
      </c>
      <c r="J31" s="62"/>
      <c r="K31" s="84">
        <v>-1000000000</v>
      </c>
      <c r="L31" s="61">
        <v>6.3858944564386844E-2</v>
      </c>
      <c r="M31" s="20">
        <v>0.10244948356034025</v>
      </c>
      <c r="N31" s="61">
        <v>0.17106737077932468</v>
      </c>
      <c r="O31" s="61">
        <v>0.24306428418396711</v>
      </c>
      <c r="P31" s="62" t="s">
        <v>266</v>
      </c>
      <c r="R31" s="84">
        <v>-1000000000</v>
      </c>
      <c r="S31" s="61">
        <v>0.15687569890496653</v>
      </c>
      <c r="T31" s="20">
        <v>0.22916381878189318</v>
      </c>
      <c r="U31" s="61">
        <v>0.37129184282962169</v>
      </c>
      <c r="V31" s="61">
        <v>0.6334612221177004</v>
      </c>
      <c r="W31" s="62" t="s">
        <v>266</v>
      </c>
      <c r="Y31" s="84">
        <v>-1000000000</v>
      </c>
      <c r="Z31" s="61">
        <v>7.9317978163723324E-2</v>
      </c>
      <c r="AA31" s="20">
        <v>0.13717554244771774</v>
      </c>
      <c r="AB31" s="61">
        <v>0.20566614230611097</v>
      </c>
      <c r="AC31" s="61">
        <v>0.32503830489369895</v>
      </c>
      <c r="AD31" s="62" t="s">
        <v>266</v>
      </c>
      <c r="AF31" s="84">
        <v>-1000000000</v>
      </c>
      <c r="AG31" s="61">
        <v>7.4355778685055315E-2</v>
      </c>
      <c r="AH31" s="20">
        <v>0.11326646650991741</v>
      </c>
      <c r="AI31" s="61">
        <v>0.17514796509854169</v>
      </c>
      <c r="AJ31" s="61">
        <v>0.27170406838141375</v>
      </c>
      <c r="AK31" s="62" t="s">
        <v>266</v>
      </c>
      <c r="AM31" s="84">
        <v>-1000000000</v>
      </c>
      <c r="AN31" s="61">
        <v>9.2468477847525127E-2</v>
      </c>
      <c r="AO31" s="20">
        <v>0.1394661382202087</v>
      </c>
      <c r="AP31" s="61">
        <v>0.20049059699392316</v>
      </c>
      <c r="AQ31" s="61">
        <v>0.33145037500292418</v>
      </c>
      <c r="AR31" s="62" t="s">
        <v>266</v>
      </c>
      <c r="AT31" s="84">
        <v>-1000000000</v>
      </c>
      <c r="AU31" s="61">
        <v>0.14495965990194254</v>
      </c>
      <c r="AV31" s="20">
        <v>0.21193933739920862</v>
      </c>
      <c r="AW31" s="61">
        <v>0.32106571742999607</v>
      </c>
      <c r="AX31" s="61">
        <v>0.5083421924612338</v>
      </c>
      <c r="AY31" s="62" t="s">
        <v>266</v>
      </c>
      <c r="BA31" s="84"/>
      <c r="BB31" s="61"/>
      <c r="BC31" s="20"/>
      <c r="BD31" s="61"/>
      <c r="BE31" s="61"/>
      <c r="BF31" s="62"/>
      <c r="BH31" s="84"/>
      <c r="BI31" s="61"/>
      <c r="BJ31" s="20"/>
      <c r="BK31" s="61"/>
      <c r="BL31" s="61"/>
      <c r="BM31" s="62"/>
      <c r="BO31" s="84"/>
      <c r="BP31" s="61"/>
      <c r="BQ31" s="20"/>
      <c r="BR31" s="61"/>
      <c r="BS31" s="61"/>
      <c r="BT31" s="62"/>
      <c r="BV31" s="84"/>
      <c r="BW31" s="61"/>
      <c r="BX31" s="20"/>
      <c r="BY31" s="61"/>
      <c r="BZ31" s="61"/>
      <c r="CA31" s="62"/>
      <c r="CC31" s="84"/>
      <c r="CD31" s="61"/>
      <c r="CE31" s="20"/>
      <c r="CF31" s="61"/>
      <c r="CG31" s="61"/>
      <c r="CH31" s="62"/>
      <c r="CJ31" s="84"/>
      <c r="CK31" s="61"/>
      <c r="CL31" s="20"/>
      <c r="CM31" s="61"/>
      <c r="CN31" s="61"/>
      <c r="CO31" s="62"/>
      <c r="CQ31" s="84"/>
      <c r="CR31" s="61"/>
      <c r="CS31" s="20"/>
      <c r="CT31" s="61"/>
      <c r="CU31" s="61"/>
      <c r="CV31" s="62"/>
      <c r="CX31" s="84"/>
      <c r="CY31" s="61"/>
      <c r="CZ31" s="20"/>
      <c r="DA31" s="61"/>
      <c r="DB31" s="61"/>
      <c r="DC31" s="62"/>
      <c r="DE31" s="84"/>
      <c r="DF31" s="61"/>
      <c r="DG31" s="20"/>
      <c r="DH31" s="61"/>
      <c r="DI31" s="61"/>
      <c r="DJ31" s="62"/>
      <c r="DL31" s="84"/>
      <c r="DM31" s="61"/>
      <c r="DN31" s="20"/>
      <c r="DO31" s="61"/>
      <c r="DP31" s="61"/>
      <c r="DQ31" s="62"/>
      <c r="DS31" s="84"/>
      <c r="DT31" s="61"/>
      <c r="DU31" s="20"/>
      <c r="DV31" s="61"/>
      <c r="DW31" s="61"/>
      <c r="DX31" s="62"/>
      <c r="DZ31" s="84"/>
      <c r="EA31" s="61"/>
      <c r="EB31" s="20"/>
      <c r="EC31" s="61"/>
      <c r="ED31" s="61"/>
      <c r="EE31" s="62"/>
      <c r="EG31" s="84"/>
      <c r="EH31" s="61"/>
      <c r="EI31" s="20"/>
      <c r="EJ31" s="61"/>
      <c r="EK31" s="61"/>
      <c r="EL31" s="62"/>
      <c r="EN31" s="84"/>
      <c r="EO31" s="61"/>
      <c r="EP31" s="20"/>
      <c r="EQ31" s="61"/>
      <c r="ER31" s="61"/>
      <c r="ES31" s="62"/>
    </row>
    <row r="32" spans="1:249" s="11" customFormat="1" x14ac:dyDescent="0.25">
      <c r="A32"/>
      <c r="B32" s="11" t="s">
        <v>205</v>
      </c>
      <c r="C32" s="173">
        <v>2</v>
      </c>
      <c r="D32" s="84">
        <v>-1000000000</v>
      </c>
      <c r="E32" s="61">
        <v>3.2930665833398119E-2</v>
      </c>
      <c r="F32" s="61">
        <v>6.2998204496585414E-2</v>
      </c>
      <c r="G32" s="61">
        <v>0.10885244202563527</v>
      </c>
      <c r="H32" s="61">
        <v>0.1879441356818565</v>
      </c>
      <c r="I32" s="62" t="s">
        <v>266</v>
      </c>
      <c r="J32" s="62"/>
      <c r="K32" s="84">
        <v>-1000000000</v>
      </c>
      <c r="L32" s="61">
        <v>1.8168669575788748E-2</v>
      </c>
      <c r="M32" s="61">
        <v>5.9783000154780545E-2</v>
      </c>
      <c r="N32" s="61">
        <v>9.1701165781838248E-2</v>
      </c>
      <c r="O32" s="61">
        <v>0.1687476031198285</v>
      </c>
      <c r="P32" s="62" t="s">
        <v>266</v>
      </c>
      <c r="R32" s="84">
        <v>-1000000000</v>
      </c>
      <c r="S32" s="61">
        <v>5.3609144579993752E-2</v>
      </c>
      <c r="T32" s="61">
        <v>6.8414161395640674E-2</v>
      </c>
      <c r="U32" s="61">
        <v>9.138526405211489E-2</v>
      </c>
      <c r="V32" s="61">
        <v>0.2417611549719843</v>
      </c>
      <c r="W32" s="62" t="s">
        <v>266</v>
      </c>
      <c r="Y32" s="84">
        <v>-1000000000</v>
      </c>
      <c r="Z32" s="61">
        <v>3.6697350057842242E-2</v>
      </c>
      <c r="AA32" s="61">
        <v>6.689190613571816E-2</v>
      </c>
      <c r="AB32" s="61">
        <v>0.14918236511029082</v>
      </c>
      <c r="AC32" s="61">
        <v>0.21073538373410183</v>
      </c>
      <c r="AD32" s="62" t="s">
        <v>266</v>
      </c>
      <c r="AF32" s="84">
        <v>-1000000000</v>
      </c>
      <c r="AG32" s="61">
        <v>4.0585001473703738E-2</v>
      </c>
      <c r="AH32" s="61">
        <v>6.2680587970042403E-2</v>
      </c>
      <c r="AI32" s="61">
        <v>0.10176986595245488</v>
      </c>
      <c r="AJ32" s="61">
        <v>0.15000566922405317</v>
      </c>
      <c r="AK32" s="62" t="s">
        <v>266</v>
      </c>
      <c r="AM32" s="84">
        <v>-1000000000</v>
      </c>
      <c r="AN32" s="61">
        <v>4.1241481145618264E-2</v>
      </c>
      <c r="AO32" s="61">
        <v>6.2300369666933891E-2</v>
      </c>
      <c r="AP32" s="61">
        <v>0.11269320693560003</v>
      </c>
      <c r="AQ32" s="61">
        <v>0.21332964592628423</v>
      </c>
      <c r="AR32" s="62" t="s">
        <v>266</v>
      </c>
      <c r="AT32" s="84">
        <v>-1000000000</v>
      </c>
      <c r="AU32" s="61">
        <v>2.1660018204137078E-2</v>
      </c>
      <c r="AV32" s="61">
        <v>8.9919533295716211E-2</v>
      </c>
      <c r="AW32" s="61">
        <v>0.17986312792416986</v>
      </c>
      <c r="AX32" s="61">
        <v>0.37488338692252599</v>
      </c>
      <c r="AY32" s="62" t="s">
        <v>266</v>
      </c>
      <c r="BA32" s="84"/>
      <c r="BB32" s="61"/>
      <c r="BC32" s="61"/>
      <c r="BD32" s="61"/>
      <c r="BE32" s="61"/>
      <c r="BF32" s="62"/>
      <c r="BH32" s="84"/>
      <c r="BI32" s="61"/>
      <c r="BJ32" s="61"/>
      <c r="BK32" s="61"/>
      <c r="BL32" s="61"/>
      <c r="BM32" s="62"/>
      <c r="BO32" s="84"/>
      <c r="BP32" s="61"/>
      <c r="BQ32" s="61"/>
      <c r="BR32" s="61"/>
      <c r="BS32" s="61"/>
      <c r="BT32" s="62"/>
      <c r="BV32" s="84"/>
      <c r="BW32" s="61"/>
      <c r="BX32" s="61"/>
      <c r="BY32" s="61"/>
      <c r="BZ32" s="61"/>
      <c r="CA32" s="62"/>
      <c r="CC32" s="84"/>
      <c r="CD32" s="61"/>
      <c r="CE32" s="61"/>
      <c r="CF32" s="61"/>
      <c r="CG32" s="61"/>
      <c r="CH32" s="62"/>
      <c r="CJ32" s="84"/>
      <c r="CK32" s="61"/>
      <c r="CL32" s="61"/>
      <c r="CM32" s="61"/>
      <c r="CN32" s="61"/>
      <c r="CO32" s="62"/>
      <c r="CQ32" s="84"/>
      <c r="CR32" s="61"/>
      <c r="CS32" s="61"/>
      <c r="CT32" s="61"/>
      <c r="CU32" s="61"/>
      <c r="CV32" s="62"/>
      <c r="CX32" s="84"/>
      <c r="CY32" s="61"/>
      <c r="CZ32" s="61"/>
      <c r="DA32" s="61"/>
      <c r="DB32" s="61"/>
      <c r="DC32" s="62"/>
      <c r="DE32" s="84"/>
      <c r="DF32" s="61"/>
      <c r="DG32" s="61"/>
      <c r="DH32" s="61"/>
      <c r="DI32" s="61"/>
      <c r="DJ32" s="62"/>
      <c r="DL32" s="84"/>
      <c r="DM32" s="61"/>
      <c r="DN32" s="61"/>
      <c r="DO32" s="61"/>
      <c r="DP32" s="61"/>
      <c r="DQ32" s="62"/>
      <c r="DS32" s="84"/>
      <c r="DT32" s="61"/>
      <c r="DU32" s="61"/>
      <c r="DV32" s="61"/>
      <c r="DW32" s="61"/>
      <c r="DX32" s="62"/>
      <c r="DZ32" s="84"/>
      <c r="EA32" s="61"/>
      <c r="EB32" s="61"/>
      <c r="EC32" s="61"/>
      <c r="ED32" s="61"/>
      <c r="EE32" s="62"/>
      <c r="EG32" s="84"/>
      <c r="EH32" s="61"/>
      <c r="EI32" s="61"/>
      <c r="EJ32" s="61"/>
      <c r="EK32" s="61"/>
      <c r="EL32" s="62"/>
      <c r="EN32" s="84"/>
      <c r="EO32" s="61"/>
      <c r="EP32" s="61"/>
      <c r="EQ32" s="61"/>
      <c r="ER32" s="61"/>
      <c r="ES32" s="62"/>
    </row>
    <row r="33" spans="1:149" s="11" customFormat="1" x14ac:dyDescent="0.25">
      <c r="A33"/>
      <c r="B33" s="11" t="s">
        <v>206</v>
      </c>
      <c r="C33" s="173">
        <v>5</v>
      </c>
      <c r="D33" s="84">
        <v>-1000000000</v>
      </c>
      <c r="E33" s="61">
        <v>-0.11190276260635908</v>
      </c>
      <c r="F33" s="20">
        <v>4.9891669175790292E-2</v>
      </c>
      <c r="G33" s="61">
        <v>0.15516166857365449</v>
      </c>
      <c r="H33" s="61">
        <v>0.38577132647963402</v>
      </c>
      <c r="I33" s="62" t="s">
        <v>266</v>
      </c>
      <c r="J33" s="62"/>
      <c r="K33" s="84">
        <v>-1000000000</v>
      </c>
      <c r="L33" s="61">
        <v>-0.13576882933263051</v>
      </c>
      <c r="M33" s="20">
        <v>3.2885971548326245E-2</v>
      </c>
      <c r="N33" s="61">
        <v>0.12370169045002893</v>
      </c>
      <c r="O33" s="61">
        <v>0.29508077838090879</v>
      </c>
      <c r="P33" s="62" t="s">
        <v>266</v>
      </c>
      <c r="R33" s="84">
        <v>-1000000000</v>
      </c>
      <c r="S33" s="61">
        <v>6.1854880996060763E-2</v>
      </c>
      <c r="T33" s="20">
        <v>0.20108771255738042</v>
      </c>
      <c r="U33" s="61">
        <v>0.32121262051571764</v>
      </c>
      <c r="V33" s="61">
        <v>0.40294708597200402</v>
      </c>
      <c r="W33" s="62" t="s">
        <v>266</v>
      </c>
      <c r="Y33" s="84">
        <v>-1000000000</v>
      </c>
      <c r="Z33" s="61">
        <v>3.7757058196922808E-2</v>
      </c>
      <c r="AA33" s="20">
        <v>7.979991375739455E-2</v>
      </c>
      <c r="AB33" s="61">
        <v>0.2873995983998397</v>
      </c>
      <c r="AC33" s="61">
        <v>0.44631887417302707</v>
      </c>
      <c r="AD33" s="62" t="s">
        <v>266</v>
      </c>
      <c r="AF33" s="84">
        <v>-1000000000</v>
      </c>
      <c r="AG33" s="61">
        <v>-0.10582310079492001</v>
      </c>
      <c r="AH33" s="20">
        <v>3.6309825394214235E-2</v>
      </c>
      <c r="AI33" s="61">
        <v>0.17457891578837517</v>
      </c>
      <c r="AJ33" s="61">
        <v>0.40397192982456137</v>
      </c>
      <c r="AK33" s="62" t="s">
        <v>266</v>
      </c>
      <c r="AM33" s="84">
        <v>-1000000000</v>
      </c>
      <c r="AN33" s="61">
        <v>-0.10377749123150422</v>
      </c>
      <c r="AO33" s="20">
        <v>5.5813269201906837E-2</v>
      </c>
      <c r="AP33" s="61">
        <v>0.12813921973658643</v>
      </c>
      <c r="AQ33" s="61">
        <v>0.25253520294605941</v>
      </c>
      <c r="AR33" s="62" t="s">
        <v>266</v>
      </c>
      <c r="AT33" s="84">
        <v>-1000000000</v>
      </c>
      <c r="AU33" s="61">
        <v>-0.27093380096448927</v>
      </c>
      <c r="AV33" s="20">
        <v>-0.10123541523678792</v>
      </c>
      <c r="AW33" s="61">
        <v>0.14521739130434774</v>
      </c>
      <c r="AX33" s="61">
        <v>0.43431356044026037</v>
      </c>
      <c r="AY33" s="62" t="s">
        <v>266</v>
      </c>
      <c r="BA33" s="84"/>
      <c r="BB33" s="61"/>
      <c r="BC33" s="20"/>
      <c r="BD33" s="61"/>
      <c r="BE33" s="61"/>
      <c r="BF33" s="62"/>
      <c r="BH33" s="84"/>
      <c r="BI33" s="61"/>
      <c r="BJ33" s="20"/>
      <c r="BK33" s="61"/>
      <c r="BL33" s="61"/>
      <c r="BM33" s="62"/>
      <c r="BO33" s="84"/>
      <c r="BP33" s="61"/>
      <c r="BQ33" s="20"/>
      <c r="BR33" s="61"/>
      <c r="BS33" s="61"/>
      <c r="BT33" s="62"/>
      <c r="BV33" s="84"/>
      <c r="BW33" s="61"/>
      <c r="BX33" s="20"/>
      <c r="BY33" s="61"/>
      <c r="BZ33" s="61"/>
      <c r="CA33" s="62"/>
      <c r="CC33" s="84"/>
      <c r="CD33" s="61"/>
      <c r="CE33" s="20"/>
      <c r="CF33" s="61"/>
      <c r="CG33" s="61"/>
      <c r="CH33" s="62"/>
      <c r="CJ33" s="84"/>
      <c r="CK33" s="61"/>
      <c r="CL33" s="20"/>
      <c r="CM33" s="61"/>
      <c r="CN33" s="61"/>
      <c r="CO33" s="62"/>
      <c r="CQ33" s="84"/>
      <c r="CR33" s="61"/>
      <c r="CS33" s="20"/>
      <c r="CT33" s="61"/>
      <c r="CU33" s="61"/>
      <c r="CV33" s="62"/>
      <c r="CX33" s="84"/>
      <c r="CY33" s="61"/>
      <c r="CZ33" s="20"/>
      <c r="DA33" s="61"/>
      <c r="DB33" s="61"/>
      <c r="DC33" s="62"/>
      <c r="DE33" s="84"/>
      <c r="DF33" s="61"/>
      <c r="DG33" s="20"/>
      <c r="DH33" s="61"/>
      <c r="DI33" s="61"/>
      <c r="DJ33" s="62"/>
      <c r="DL33" s="84"/>
      <c r="DM33" s="61"/>
      <c r="DN33" s="20"/>
      <c r="DO33" s="61"/>
      <c r="DP33" s="61"/>
      <c r="DQ33" s="62"/>
      <c r="DS33" s="84"/>
      <c r="DT33" s="61"/>
      <c r="DU33" s="20"/>
      <c r="DV33" s="61"/>
      <c r="DW33" s="61"/>
      <c r="DX33" s="62"/>
      <c r="DZ33" s="84"/>
      <c r="EA33" s="61"/>
      <c r="EB33" s="20"/>
      <c r="EC33" s="61"/>
      <c r="ED33" s="61"/>
      <c r="EE33" s="62"/>
      <c r="EG33" s="84"/>
      <c r="EH33" s="61"/>
      <c r="EI33" s="20"/>
      <c r="EJ33" s="61"/>
      <c r="EK33" s="61"/>
      <c r="EL33" s="62"/>
      <c r="EN33" s="84"/>
      <c r="EO33" s="61"/>
      <c r="EP33" s="20"/>
      <c r="EQ33" s="61"/>
      <c r="ER33" s="61"/>
      <c r="ES33" s="62"/>
    </row>
    <row r="34" spans="1:149" s="11" customFormat="1" x14ac:dyDescent="0.25">
      <c r="A34"/>
      <c r="B34" s="11" t="s">
        <v>207</v>
      </c>
      <c r="C34" s="173">
        <v>2</v>
      </c>
      <c r="D34" s="84">
        <v>-1000000000</v>
      </c>
      <c r="E34" s="61">
        <v>5.4012964874375638E-2</v>
      </c>
      <c r="F34" s="20">
        <v>0.13294943571221235</v>
      </c>
      <c r="G34" s="61">
        <v>0.25607026025236934</v>
      </c>
      <c r="H34" s="61">
        <v>0.45343821867271755</v>
      </c>
      <c r="I34" s="62" t="s">
        <v>266</v>
      </c>
      <c r="J34" s="62"/>
      <c r="K34" s="84">
        <v>-1000000000</v>
      </c>
      <c r="L34" s="61">
        <v>4.5101951005890428E-2</v>
      </c>
      <c r="M34" s="20">
        <v>0.11087157471104264</v>
      </c>
      <c r="N34" s="61">
        <v>0.21163162527218848</v>
      </c>
      <c r="O34" s="61">
        <v>0.37231599371585705</v>
      </c>
      <c r="P34" s="62" t="s">
        <v>266</v>
      </c>
      <c r="R34" s="84">
        <v>-1000000000</v>
      </c>
      <c r="S34" s="61">
        <v>0.19311022135683664</v>
      </c>
      <c r="T34" s="20">
        <v>0.24624435250800317</v>
      </c>
      <c r="U34" s="61">
        <v>0.36445976434466248</v>
      </c>
      <c r="V34" s="61">
        <v>0.89372311959185635</v>
      </c>
      <c r="W34" s="62" t="s">
        <v>266</v>
      </c>
      <c r="Y34" s="84">
        <v>-1000000000</v>
      </c>
      <c r="Z34" s="61">
        <v>8.9472082239694897E-2</v>
      </c>
      <c r="AA34" s="20">
        <v>0.14839214443379611</v>
      </c>
      <c r="AB34" s="61">
        <v>0.26330829971948805</v>
      </c>
      <c r="AC34" s="61">
        <v>0.44363404100297432</v>
      </c>
      <c r="AD34" s="62" t="s">
        <v>266</v>
      </c>
      <c r="AF34" s="84">
        <v>-1000000000</v>
      </c>
      <c r="AG34" s="61">
        <v>7.6376296489102408E-2</v>
      </c>
      <c r="AH34" s="20">
        <v>0.15275125628159902</v>
      </c>
      <c r="AI34" s="61">
        <v>0.2993424690634483</v>
      </c>
      <c r="AJ34" s="61">
        <v>0.478224936493023</v>
      </c>
      <c r="AK34" s="62" t="s">
        <v>266</v>
      </c>
      <c r="AM34" s="84">
        <v>-1000000000</v>
      </c>
      <c r="AN34" s="61">
        <v>0.15291859466363261</v>
      </c>
      <c r="AO34" s="20">
        <v>0.24475245679314059</v>
      </c>
      <c r="AP34" s="61">
        <v>0.37998710246022727</v>
      </c>
      <c r="AQ34" s="61">
        <v>0.62875898992311519</v>
      </c>
      <c r="AR34" s="62" t="s">
        <v>266</v>
      </c>
      <c r="AT34" s="84">
        <v>-1000000000</v>
      </c>
      <c r="AU34" s="61">
        <v>3.0767450837031574E-2</v>
      </c>
      <c r="AV34" s="20">
        <v>9.1772192449333809E-2</v>
      </c>
      <c r="AW34" s="61">
        <v>0.25650793366399999</v>
      </c>
      <c r="AX34" s="61">
        <v>0.48551394451304719</v>
      </c>
      <c r="AY34" s="62" t="s">
        <v>266</v>
      </c>
      <c r="BA34" s="84"/>
      <c r="BB34" s="61"/>
      <c r="BC34" s="20"/>
      <c r="BD34" s="61"/>
      <c r="BE34" s="61"/>
      <c r="BF34" s="62"/>
      <c r="BH34" s="84"/>
      <c r="BI34" s="61"/>
      <c r="BJ34" s="20"/>
      <c r="BK34" s="61"/>
      <c r="BL34" s="61"/>
      <c r="BM34" s="62"/>
      <c r="BO34" s="84"/>
      <c r="BP34" s="61"/>
      <c r="BQ34" s="20"/>
      <c r="BR34" s="61"/>
      <c r="BS34" s="61"/>
      <c r="BT34" s="62"/>
      <c r="BV34" s="84"/>
      <c r="BW34" s="61"/>
      <c r="BX34" s="20"/>
      <c r="BY34" s="61"/>
      <c r="BZ34" s="61"/>
      <c r="CA34" s="62"/>
      <c r="CC34" s="84"/>
      <c r="CD34" s="61"/>
      <c r="CE34" s="20"/>
      <c r="CF34" s="61"/>
      <c r="CG34" s="61"/>
      <c r="CH34" s="62"/>
      <c r="CJ34" s="84"/>
      <c r="CK34" s="61"/>
      <c r="CL34" s="20"/>
      <c r="CM34" s="61"/>
      <c r="CN34" s="61"/>
      <c r="CO34" s="62"/>
      <c r="CQ34" s="84"/>
      <c r="CR34" s="61"/>
      <c r="CS34" s="20"/>
      <c r="CT34" s="61"/>
      <c r="CU34" s="61"/>
      <c r="CV34" s="62"/>
      <c r="CX34" s="84"/>
      <c r="CY34" s="61"/>
      <c r="CZ34" s="20"/>
      <c r="DA34" s="61"/>
      <c r="DB34" s="61"/>
      <c r="DC34" s="62"/>
      <c r="DE34" s="84"/>
      <c r="DF34" s="61"/>
      <c r="DG34" s="20"/>
      <c r="DH34" s="61"/>
      <c r="DI34" s="61"/>
      <c r="DJ34" s="62"/>
      <c r="DL34" s="84"/>
      <c r="DM34" s="61"/>
      <c r="DN34" s="20"/>
      <c r="DO34" s="61"/>
      <c r="DP34" s="61"/>
      <c r="DQ34" s="62"/>
      <c r="DS34" s="84"/>
      <c r="DT34" s="61"/>
      <c r="DU34" s="20"/>
      <c r="DV34" s="61"/>
      <c r="DW34" s="61"/>
      <c r="DX34" s="62"/>
      <c r="DZ34" s="84"/>
      <c r="EA34" s="61"/>
      <c r="EB34" s="20"/>
      <c r="EC34" s="61"/>
      <c r="ED34" s="61"/>
      <c r="EE34" s="62"/>
      <c r="EG34" s="84"/>
      <c r="EH34" s="61"/>
      <c r="EI34" s="20"/>
      <c r="EJ34" s="61"/>
      <c r="EK34" s="61"/>
      <c r="EL34" s="62"/>
      <c r="EN34" s="84"/>
      <c r="EO34" s="61"/>
      <c r="EP34" s="20"/>
      <c r="EQ34" s="61"/>
      <c r="ER34" s="61"/>
      <c r="ES34" s="62"/>
    </row>
    <row r="35" spans="1:149" s="11" customFormat="1" x14ac:dyDescent="0.25">
      <c r="A35"/>
      <c r="B35" s="58" t="s">
        <v>208</v>
      </c>
      <c r="C35" s="174"/>
      <c r="D35" s="64"/>
      <c r="E35" s="65"/>
      <c r="F35" s="66"/>
      <c r="G35" s="65"/>
      <c r="H35" s="65"/>
      <c r="I35" s="65"/>
      <c r="J35" s="22"/>
      <c r="K35" s="64"/>
      <c r="L35" s="65"/>
      <c r="M35" s="66"/>
      <c r="N35" s="65"/>
      <c r="O35" s="65"/>
      <c r="P35" s="65"/>
      <c r="R35" s="64"/>
      <c r="S35" s="65"/>
      <c r="T35" s="66"/>
      <c r="U35" s="65"/>
      <c r="V35" s="65"/>
      <c r="W35" s="65"/>
      <c r="Y35" s="64"/>
      <c r="Z35" s="65"/>
      <c r="AA35" s="66"/>
      <c r="AB35" s="65"/>
      <c r="AC35" s="65"/>
      <c r="AD35" s="65"/>
      <c r="AF35" s="64"/>
      <c r="AG35" s="65"/>
      <c r="AH35" s="66"/>
      <c r="AI35" s="65"/>
      <c r="AJ35" s="65"/>
      <c r="AK35" s="65"/>
      <c r="AM35" s="64"/>
      <c r="AN35" s="65"/>
      <c r="AO35" s="66"/>
      <c r="AP35" s="65"/>
      <c r="AQ35" s="65"/>
      <c r="AR35" s="65"/>
      <c r="AT35" s="64"/>
      <c r="AU35" s="65"/>
      <c r="AV35" s="66"/>
      <c r="AW35" s="65"/>
      <c r="AX35" s="65"/>
      <c r="AY35" s="65"/>
      <c r="BA35" s="64"/>
      <c r="BB35" s="65"/>
      <c r="BC35" s="66"/>
      <c r="BD35" s="65"/>
      <c r="BE35" s="65"/>
      <c r="BF35" s="65"/>
      <c r="BH35" s="64"/>
      <c r="BI35" s="65"/>
      <c r="BJ35" s="66"/>
      <c r="BK35" s="65"/>
      <c r="BL35" s="65"/>
      <c r="BM35" s="65"/>
      <c r="BO35" s="64"/>
      <c r="BP35" s="65"/>
      <c r="BQ35" s="66"/>
      <c r="BR35" s="65"/>
      <c r="BS35" s="65"/>
      <c r="BT35" s="65"/>
      <c r="BV35" s="64"/>
      <c r="BW35" s="65"/>
      <c r="BX35" s="66"/>
      <c r="BY35" s="65"/>
      <c r="BZ35" s="65"/>
      <c r="CA35" s="65"/>
      <c r="CC35" s="64"/>
      <c r="CD35" s="65"/>
      <c r="CE35" s="66"/>
      <c r="CF35" s="65"/>
      <c r="CG35" s="65"/>
      <c r="CH35" s="65"/>
      <c r="CJ35" s="64"/>
      <c r="CK35" s="65"/>
      <c r="CL35" s="66"/>
      <c r="CM35" s="65"/>
      <c r="CN35" s="65"/>
      <c r="CO35" s="65"/>
      <c r="CQ35" s="64"/>
      <c r="CR35" s="65"/>
      <c r="CS35" s="66"/>
      <c r="CT35" s="65"/>
      <c r="CU35" s="65"/>
      <c r="CV35" s="65"/>
      <c r="CX35" s="64"/>
      <c r="CY35" s="65"/>
      <c r="CZ35" s="66"/>
      <c r="DA35" s="65"/>
      <c r="DB35" s="65"/>
      <c r="DC35" s="65"/>
      <c r="DE35" s="64"/>
      <c r="DF35" s="65"/>
      <c r="DG35" s="66"/>
      <c r="DH35" s="65"/>
      <c r="DI35" s="65"/>
      <c r="DJ35" s="65"/>
      <c r="DL35" s="64"/>
      <c r="DM35" s="65"/>
      <c r="DN35" s="66"/>
      <c r="DO35" s="65"/>
      <c r="DP35" s="65"/>
      <c r="DQ35" s="65"/>
      <c r="DS35" s="64"/>
      <c r="DT35" s="65"/>
      <c r="DU35" s="66"/>
      <c r="DV35" s="65"/>
      <c r="DW35" s="65"/>
      <c r="DX35" s="65"/>
      <c r="DZ35" s="64"/>
      <c r="EA35" s="65"/>
      <c r="EB35" s="66"/>
      <c r="EC35" s="65"/>
      <c r="ED35" s="65"/>
      <c r="EE35" s="65"/>
      <c r="EG35" s="64"/>
      <c r="EH35" s="65"/>
      <c r="EI35" s="66"/>
      <c r="EJ35" s="65"/>
      <c r="EK35" s="65"/>
      <c r="EL35" s="65"/>
      <c r="EN35" s="64"/>
      <c r="EO35" s="65"/>
      <c r="EP35" s="66"/>
      <c r="EQ35" s="65"/>
      <c r="ER35" s="65"/>
      <c r="ES35" s="65"/>
    </row>
    <row r="36" spans="1:149" s="157" customFormat="1" x14ac:dyDescent="0.25">
      <c r="A36" s="156"/>
      <c r="B36" s="157" t="s">
        <v>151</v>
      </c>
      <c r="C36" s="173">
        <v>4</v>
      </c>
      <c r="D36" s="84">
        <v>-1000000000</v>
      </c>
      <c r="E36" s="161">
        <v>1.0605703847522421</v>
      </c>
      <c r="F36" s="162">
        <v>1.4068671421683823</v>
      </c>
      <c r="G36" s="161">
        <v>1.9745860717671779</v>
      </c>
      <c r="H36" s="161">
        <v>3.5010741893384187</v>
      </c>
      <c r="I36" s="160" t="s">
        <v>266</v>
      </c>
      <c r="J36" s="160"/>
      <c r="K36" s="84">
        <v>-1000000000</v>
      </c>
      <c r="L36" s="161">
        <v>1.0487529039501655</v>
      </c>
      <c r="M36" s="162">
        <v>1.3936091429001243</v>
      </c>
      <c r="N36" s="161">
        <v>1.839264547730475</v>
      </c>
      <c r="O36" s="161">
        <v>2.9179684098026044</v>
      </c>
      <c r="P36" s="160" t="s">
        <v>266</v>
      </c>
      <c r="R36" s="84">
        <v>-1000000000</v>
      </c>
      <c r="S36" s="161">
        <v>0.64341797665641076</v>
      </c>
      <c r="T36" s="162">
        <v>0.99895146208746399</v>
      </c>
      <c r="U36" s="161">
        <v>1.4576916286467165</v>
      </c>
      <c r="V36" s="161">
        <v>2.9399075457266606</v>
      </c>
      <c r="W36" s="160" t="s">
        <v>266</v>
      </c>
      <c r="Y36" s="84">
        <v>-1000000000</v>
      </c>
      <c r="Z36" s="161">
        <v>0.96870813781634391</v>
      </c>
      <c r="AA36" s="162">
        <v>1.3027532243308602</v>
      </c>
      <c r="AB36" s="161">
        <v>1.6190750543981616</v>
      </c>
      <c r="AC36" s="161">
        <v>2.5880221620796666</v>
      </c>
      <c r="AD36" s="160" t="s">
        <v>266</v>
      </c>
      <c r="AF36" s="84">
        <v>-1000000000</v>
      </c>
      <c r="AG36" s="161">
        <v>1.2203069134568598</v>
      </c>
      <c r="AH36" s="162">
        <v>1.6722195972760399</v>
      </c>
      <c r="AI36" s="161">
        <v>2.1565662650602406</v>
      </c>
      <c r="AJ36" s="161">
        <v>5.4131303685984564</v>
      </c>
      <c r="AK36" s="160" t="s">
        <v>266</v>
      </c>
      <c r="AM36" s="84">
        <v>-1000000000</v>
      </c>
      <c r="AN36" s="161">
        <v>1.2220136336560905</v>
      </c>
      <c r="AO36" s="162">
        <v>1.7188501028577776</v>
      </c>
      <c r="AP36" s="161">
        <v>2.142861364214852</v>
      </c>
      <c r="AQ36" s="161">
        <v>4.368743462178923</v>
      </c>
      <c r="AR36" s="160" t="s">
        <v>266</v>
      </c>
      <c r="AT36" s="84">
        <v>-1000000000</v>
      </c>
      <c r="AU36" s="161">
        <v>0.6758965649364751</v>
      </c>
      <c r="AV36" s="162">
        <v>1.2407085034309042</v>
      </c>
      <c r="AW36" s="161">
        <v>2.3234683600823551</v>
      </c>
      <c r="AX36" s="161">
        <v>4.2181983587288476</v>
      </c>
      <c r="AY36" s="160" t="s">
        <v>266</v>
      </c>
      <c r="BA36" s="84"/>
      <c r="BB36" s="161"/>
      <c r="BC36" s="162"/>
      <c r="BD36" s="161"/>
      <c r="BE36" s="161"/>
      <c r="BF36" s="160"/>
      <c r="BH36" s="84"/>
      <c r="BI36" s="161"/>
      <c r="BJ36" s="162"/>
      <c r="BK36" s="161"/>
      <c r="BL36" s="161"/>
      <c r="BM36" s="160"/>
      <c r="BO36" s="84"/>
      <c r="BP36" s="161"/>
      <c r="BQ36" s="162"/>
      <c r="BR36" s="161"/>
      <c r="BS36" s="161"/>
      <c r="BT36" s="160"/>
      <c r="BV36" s="84"/>
      <c r="BW36" s="161"/>
      <c r="BX36" s="162"/>
      <c r="BY36" s="161"/>
      <c r="BZ36" s="161"/>
      <c r="CA36" s="160"/>
      <c r="CC36" s="84"/>
      <c r="CD36" s="161"/>
      <c r="CE36" s="162"/>
      <c r="CF36" s="161"/>
      <c r="CG36" s="161"/>
      <c r="CH36" s="160"/>
      <c r="CJ36" s="84"/>
      <c r="CK36" s="161"/>
      <c r="CL36" s="162"/>
      <c r="CM36" s="161"/>
      <c r="CN36" s="161"/>
      <c r="CO36" s="160"/>
      <c r="CQ36" s="84"/>
      <c r="CR36" s="161"/>
      <c r="CS36" s="162"/>
      <c r="CT36" s="161"/>
      <c r="CU36" s="161"/>
      <c r="CV36" s="160"/>
      <c r="CX36" s="84"/>
      <c r="CY36" s="161"/>
      <c r="CZ36" s="162"/>
      <c r="DA36" s="161"/>
      <c r="DB36" s="161"/>
      <c r="DC36" s="160"/>
      <c r="DE36" s="84"/>
      <c r="DF36" s="161"/>
      <c r="DG36" s="162"/>
      <c r="DH36" s="161"/>
      <c r="DI36" s="161"/>
      <c r="DJ36" s="160"/>
      <c r="DL36" s="84"/>
      <c r="DM36" s="161"/>
      <c r="DN36" s="162"/>
      <c r="DO36" s="161"/>
      <c r="DP36" s="161"/>
      <c r="DQ36" s="160"/>
      <c r="DS36" s="84"/>
      <c r="DT36" s="161"/>
      <c r="DU36" s="162"/>
      <c r="DV36" s="161"/>
      <c r="DW36" s="161"/>
      <c r="DX36" s="160"/>
      <c r="DZ36" s="84"/>
      <c r="EA36" s="161"/>
      <c r="EB36" s="162"/>
      <c r="EC36" s="161"/>
      <c r="ED36" s="161"/>
      <c r="EE36" s="160"/>
      <c r="EG36" s="84"/>
      <c r="EH36" s="161"/>
      <c r="EI36" s="162"/>
      <c r="EJ36" s="161"/>
      <c r="EK36" s="161"/>
      <c r="EL36" s="160"/>
      <c r="EN36" s="84"/>
      <c r="EO36" s="161"/>
      <c r="EP36" s="162"/>
      <c r="EQ36" s="161"/>
      <c r="ER36" s="161"/>
      <c r="ES36" s="160"/>
    </row>
    <row r="37" spans="1:149" s="157" customFormat="1" x14ac:dyDescent="0.25">
      <c r="A37" s="156"/>
      <c r="B37" s="157" t="s">
        <v>152</v>
      </c>
      <c r="C37" s="173">
        <v>4</v>
      </c>
      <c r="D37" s="84">
        <v>-1000000000</v>
      </c>
      <c r="E37" s="161">
        <v>0.24665219233703448</v>
      </c>
      <c r="F37" s="162">
        <v>0.5911508762306863</v>
      </c>
      <c r="G37" s="161">
        <v>1.0014648010079341</v>
      </c>
      <c r="H37" s="161">
        <v>1.7500537019170699</v>
      </c>
      <c r="I37" s="160" t="s">
        <v>266</v>
      </c>
      <c r="J37" s="160"/>
      <c r="K37" s="84">
        <v>-1000000000</v>
      </c>
      <c r="L37" s="161">
        <v>0.26393157360718639</v>
      </c>
      <c r="M37" s="162">
        <v>0.57570407341478624</v>
      </c>
      <c r="N37" s="161">
        <v>0.9040281544713481</v>
      </c>
      <c r="O37" s="161">
        <v>1.6321977016443743</v>
      </c>
      <c r="P37" s="160" t="s">
        <v>266</v>
      </c>
      <c r="R37" s="84">
        <v>-1000000000</v>
      </c>
      <c r="S37" s="161">
        <v>0.15373685416075533</v>
      </c>
      <c r="T37" s="162">
        <v>0.71665350854280108</v>
      </c>
      <c r="U37" s="161">
        <v>1.0702574071206987</v>
      </c>
      <c r="V37" s="161">
        <v>1.450564046354782</v>
      </c>
      <c r="W37" s="160" t="s">
        <v>266</v>
      </c>
      <c r="Y37" s="84">
        <v>-1000000000</v>
      </c>
      <c r="Z37" s="161">
        <v>0.11749021135856565</v>
      </c>
      <c r="AA37" s="162">
        <v>0.40950108832833487</v>
      </c>
      <c r="AB37" s="161">
        <v>0.61327274130926324</v>
      </c>
      <c r="AC37" s="161">
        <v>1.122331139926644</v>
      </c>
      <c r="AD37" s="160" t="s">
        <v>266</v>
      </c>
      <c r="AF37" s="84">
        <v>-1000000000</v>
      </c>
      <c r="AG37" s="161">
        <v>0.3015981301210271</v>
      </c>
      <c r="AH37" s="162">
        <v>0.70003811559323936</v>
      </c>
      <c r="AI37" s="161">
        <v>1.2304358595338014</v>
      </c>
      <c r="AJ37" s="161">
        <v>3.2562770562770655</v>
      </c>
      <c r="AK37" s="160" t="s">
        <v>266</v>
      </c>
      <c r="AM37" s="84">
        <v>-1000000000</v>
      </c>
      <c r="AN37" s="161">
        <v>0.49172191062236281</v>
      </c>
      <c r="AO37" s="162">
        <v>0.85893313768711932</v>
      </c>
      <c r="AP37" s="161">
        <v>1.4078356134700534</v>
      </c>
      <c r="AQ37" s="161">
        <v>2.5146439878938573</v>
      </c>
      <c r="AR37" s="160" t="s">
        <v>266</v>
      </c>
      <c r="AT37" s="84">
        <v>-1000000000</v>
      </c>
      <c r="AU37" s="161">
        <v>0.17350857318155788</v>
      </c>
      <c r="AV37" s="162">
        <v>0.44490310056797028</v>
      </c>
      <c r="AW37" s="161">
        <v>0.92754807242748005</v>
      </c>
      <c r="AX37" s="161">
        <v>2.343981902639682</v>
      </c>
      <c r="AY37" s="160" t="s">
        <v>266</v>
      </c>
      <c r="BA37" s="84"/>
      <c r="BB37" s="161"/>
      <c r="BC37" s="162"/>
      <c r="BD37" s="161"/>
      <c r="BE37" s="161"/>
      <c r="BF37" s="160"/>
      <c r="BH37" s="84"/>
      <c r="BI37" s="161"/>
      <c r="BJ37" s="162"/>
      <c r="BK37" s="161"/>
      <c r="BL37" s="161"/>
      <c r="BM37" s="160"/>
      <c r="BO37" s="84"/>
      <c r="BP37" s="161"/>
      <c r="BQ37" s="162"/>
      <c r="BR37" s="161"/>
      <c r="BS37" s="161"/>
      <c r="BT37" s="160"/>
      <c r="BV37" s="84"/>
      <c r="BW37" s="161"/>
      <c r="BX37" s="162"/>
      <c r="BY37" s="161"/>
      <c r="BZ37" s="161"/>
      <c r="CA37" s="160"/>
      <c r="CC37" s="84"/>
      <c r="CD37" s="161"/>
      <c r="CE37" s="162"/>
      <c r="CF37" s="161"/>
      <c r="CG37" s="161"/>
      <c r="CH37" s="160"/>
      <c r="CJ37" s="84"/>
      <c r="CK37" s="161"/>
      <c r="CL37" s="162"/>
      <c r="CM37" s="161"/>
      <c r="CN37" s="161"/>
      <c r="CO37" s="160"/>
      <c r="CQ37" s="84"/>
      <c r="CR37" s="161"/>
      <c r="CS37" s="162"/>
      <c r="CT37" s="161"/>
      <c r="CU37" s="161"/>
      <c r="CV37" s="160"/>
      <c r="CX37" s="84"/>
      <c r="CY37" s="161"/>
      <c r="CZ37" s="162"/>
      <c r="DA37" s="161"/>
      <c r="DB37" s="161"/>
      <c r="DC37" s="160"/>
      <c r="DE37" s="84"/>
      <c r="DF37" s="161"/>
      <c r="DG37" s="162"/>
      <c r="DH37" s="161"/>
      <c r="DI37" s="161"/>
      <c r="DJ37" s="160"/>
      <c r="DL37" s="84"/>
      <c r="DM37" s="161"/>
      <c r="DN37" s="162"/>
      <c r="DO37" s="161"/>
      <c r="DP37" s="161"/>
      <c r="DQ37" s="160"/>
      <c r="DS37" s="84"/>
      <c r="DT37" s="161"/>
      <c r="DU37" s="162"/>
      <c r="DV37" s="161"/>
      <c r="DW37" s="161"/>
      <c r="DX37" s="160"/>
      <c r="DZ37" s="84"/>
      <c r="EA37" s="161"/>
      <c r="EB37" s="162"/>
      <c r="EC37" s="161"/>
      <c r="ED37" s="161"/>
      <c r="EE37" s="160"/>
      <c r="EG37" s="84"/>
      <c r="EH37" s="161"/>
      <c r="EI37" s="162"/>
      <c r="EJ37" s="161"/>
      <c r="EK37" s="161"/>
      <c r="EL37" s="160"/>
      <c r="EN37" s="84"/>
      <c r="EO37" s="161"/>
      <c r="EP37" s="162"/>
      <c r="EQ37" s="161"/>
      <c r="ER37" s="161"/>
      <c r="ES37" s="160"/>
    </row>
    <row r="38" spans="1:149" s="157" customFormat="1" x14ac:dyDescent="0.25">
      <c r="A38" s="156"/>
      <c r="B38" s="157" t="s">
        <v>170</v>
      </c>
      <c r="C38" s="173">
        <v>1</v>
      </c>
      <c r="D38" s="84">
        <v>-1000000000</v>
      </c>
      <c r="E38" s="161">
        <v>16.383177540410845</v>
      </c>
      <c r="F38" s="162">
        <v>47.436055132925162</v>
      </c>
      <c r="G38" s="161">
        <v>86.480072534997049</v>
      </c>
      <c r="H38" s="161">
        <v>159.37665629403759</v>
      </c>
      <c r="I38" s="160" t="s">
        <v>266</v>
      </c>
      <c r="J38" s="160"/>
      <c r="K38" s="84">
        <v>-1000000000</v>
      </c>
      <c r="L38" s="161">
        <v>15.282367512833561</v>
      </c>
      <c r="M38" s="162">
        <v>49.376371303377361</v>
      </c>
      <c r="N38" s="161">
        <v>87.857138400377366</v>
      </c>
      <c r="O38" s="161">
        <v>159.14951451655241</v>
      </c>
      <c r="P38" s="160" t="s">
        <v>266</v>
      </c>
      <c r="R38" s="84">
        <v>-1000000000</v>
      </c>
      <c r="S38" s="161">
        <v>33.863523727867275</v>
      </c>
      <c r="T38" s="162">
        <v>76.904379893151273</v>
      </c>
      <c r="U38" s="161">
        <v>131.3846825115013</v>
      </c>
      <c r="V38" s="161">
        <v>181.71777235494642</v>
      </c>
      <c r="W38" s="160" t="s">
        <v>266</v>
      </c>
      <c r="Y38" s="84">
        <v>-1000000000</v>
      </c>
      <c r="Z38" s="161">
        <v>4.3278047924614818</v>
      </c>
      <c r="AA38" s="162">
        <v>21.214147396403419</v>
      </c>
      <c r="AB38" s="161">
        <v>40.505966462118067</v>
      </c>
      <c r="AC38" s="161">
        <v>70.56122889908842</v>
      </c>
      <c r="AD38" s="160" t="s">
        <v>266</v>
      </c>
      <c r="AF38" s="84">
        <v>-1000000000</v>
      </c>
      <c r="AG38" s="161">
        <v>18.124397416347549</v>
      </c>
      <c r="AH38" s="162">
        <v>48.986607004601829</v>
      </c>
      <c r="AI38" s="161">
        <v>100.46471549941931</v>
      </c>
      <c r="AJ38" s="161">
        <v>213.17814800369587</v>
      </c>
      <c r="AK38" s="160" t="s">
        <v>266</v>
      </c>
      <c r="AM38" s="84">
        <v>-1000000000</v>
      </c>
      <c r="AN38" s="161">
        <v>54.499958894169929</v>
      </c>
      <c r="AO38" s="162">
        <v>96.235199103679975</v>
      </c>
      <c r="AP38" s="161">
        <v>106.97028836428443</v>
      </c>
      <c r="AQ38" s="161">
        <v>118.31797072916899</v>
      </c>
      <c r="AR38" s="160" t="s">
        <v>266</v>
      </c>
      <c r="AT38" s="84">
        <v>-1000000000</v>
      </c>
      <c r="AU38" s="161">
        <v>20.260035913792702</v>
      </c>
      <c r="AV38" s="162">
        <v>44.537989274610602</v>
      </c>
      <c r="AW38" s="161">
        <v>82.851904660809382</v>
      </c>
      <c r="AX38" s="161">
        <v>167.43168020949852</v>
      </c>
      <c r="AY38" s="160" t="s">
        <v>266</v>
      </c>
      <c r="BA38" s="84"/>
      <c r="BB38" s="161"/>
      <c r="BC38" s="162"/>
      <c r="BD38" s="161"/>
      <c r="BE38" s="161"/>
      <c r="BF38" s="160"/>
      <c r="BH38" s="84"/>
      <c r="BI38" s="161"/>
      <c r="BJ38" s="162"/>
      <c r="BK38" s="161"/>
      <c r="BL38" s="161"/>
      <c r="BM38" s="160"/>
      <c r="BO38" s="84"/>
      <c r="BP38" s="161"/>
      <c r="BQ38" s="162"/>
      <c r="BR38" s="161"/>
      <c r="BS38" s="161"/>
      <c r="BT38" s="160"/>
      <c r="BV38" s="84"/>
      <c r="BW38" s="161"/>
      <c r="BX38" s="162"/>
      <c r="BY38" s="161"/>
      <c r="BZ38" s="161"/>
      <c r="CA38" s="160"/>
      <c r="CC38" s="84"/>
      <c r="CD38" s="161"/>
      <c r="CE38" s="162"/>
      <c r="CF38" s="161"/>
      <c r="CG38" s="161"/>
      <c r="CH38" s="160"/>
      <c r="CJ38" s="84"/>
      <c r="CK38" s="161"/>
      <c r="CL38" s="162"/>
      <c r="CM38" s="161"/>
      <c r="CN38" s="161"/>
      <c r="CO38" s="160"/>
      <c r="CQ38" s="84"/>
      <c r="CR38" s="161"/>
      <c r="CS38" s="162"/>
      <c r="CT38" s="161"/>
      <c r="CU38" s="161"/>
      <c r="CV38" s="160"/>
      <c r="CX38" s="84"/>
      <c r="CY38" s="161"/>
      <c r="CZ38" s="162"/>
      <c r="DA38" s="161"/>
      <c r="DB38" s="161"/>
      <c r="DC38" s="160"/>
      <c r="DE38" s="84"/>
      <c r="DF38" s="161"/>
      <c r="DG38" s="162"/>
      <c r="DH38" s="161"/>
      <c r="DI38" s="161"/>
      <c r="DJ38" s="160"/>
      <c r="DL38" s="84"/>
      <c r="DM38" s="161"/>
      <c r="DN38" s="162"/>
      <c r="DO38" s="161"/>
      <c r="DP38" s="161"/>
      <c r="DQ38" s="160"/>
      <c r="DS38" s="84"/>
      <c r="DT38" s="161"/>
      <c r="DU38" s="162"/>
      <c r="DV38" s="161"/>
      <c r="DW38" s="161"/>
      <c r="DX38" s="160"/>
      <c r="DZ38" s="84"/>
      <c r="EA38" s="161"/>
      <c r="EB38" s="162"/>
      <c r="EC38" s="161"/>
      <c r="ED38" s="161"/>
      <c r="EE38" s="160"/>
      <c r="EG38" s="84"/>
      <c r="EH38" s="161"/>
      <c r="EI38" s="162"/>
      <c r="EJ38" s="161"/>
      <c r="EK38" s="161"/>
      <c r="EL38" s="160"/>
      <c r="EN38" s="84"/>
      <c r="EO38" s="161"/>
      <c r="EP38" s="162"/>
      <c r="EQ38" s="161"/>
      <c r="ER38" s="161"/>
      <c r="ES38" s="160"/>
    </row>
    <row r="39" spans="1:149" s="157" customFormat="1" x14ac:dyDescent="0.25">
      <c r="A39" s="156"/>
      <c r="B39" s="157" t="s">
        <v>172</v>
      </c>
      <c r="C39" s="173">
        <v>1</v>
      </c>
      <c r="D39" s="84">
        <v>-1000000000</v>
      </c>
      <c r="E39" s="161">
        <v>10.276245161104637</v>
      </c>
      <c r="F39" s="162">
        <v>49.905367164140202</v>
      </c>
      <c r="G39" s="161">
        <v>107.32891063212878</v>
      </c>
      <c r="H39" s="161">
        <v>191.90074832153419</v>
      </c>
      <c r="I39" s="160" t="s">
        <v>266</v>
      </c>
      <c r="J39" s="160"/>
      <c r="K39" s="84">
        <v>-1000000000</v>
      </c>
      <c r="L39" s="161">
        <v>37.71904808052664</v>
      </c>
      <c r="M39" s="162">
        <v>84.761059299051681</v>
      </c>
      <c r="N39" s="161">
        <v>152.39252936838074</v>
      </c>
      <c r="O39" s="161">
        <v>218.03613649514304</v>
      </c>
      <c r="P39" s="160" t="s">
        <v>266</v>
      </c>
      <c r="R39" s="84">
        <v>-1000000000</v>
      </c>
      <c r="S39" s="161">
        <v>0</v>
      </c>
      <c r="T39" s="162">
        <v>7.0331641516231045</v>
      </c>
      <c r="U39" s="161">
        <v>13.497536618341174</v>
      </c>
      <c r="V39" s="161">
        <v>72.245107833179674</v>
      </c>
      <c r="W39" s="160" t="s">
        <v>266</v>
      </c>
      <c r="Y39" s="84">
        <v>-1000000000</v>
      </c>
      <c r="Z39" s="161">
        <v>32.918119730467524</v>
      </c>
      <c r="AA39" s="162">
        <v>75.016562298136336</v>
      </c>
      <c r="AB39" s="161">
        <v>97.316561302513946</v>
      </c>
      <c r="AC39" s="161">
        <v>162.72483784837868</v>
      </c>
      <c r="AD39" s="160" t="s">
        <v>266</v>
      </c>
      <c r="AF39" s="84">
        <v>-1000000000</v>
      </c>
      <c r="AG39" s="161">
        <v>0</v>
      </c>
      <c r="AH39" s="162">
        <v>16.651908155949847</v>
      </c>
      <c r="AI39" s="161">
        <v>57.904463478598238</v>
      </c>
      <c r="AJ39" s="161">
        <v>145.64571060231478</v>
      </c>
      <c r="AK39" s="160" t="s">
        <v>266</v>
      </c>
      <c r="AM39" s="84">
        <v>-1000000000</v>
      </c>
      <c r="AN39" s="161">
        <v>72.022117985480421</v>
      </c>
      <c r="AO39" s="162">
        <v>105.72684583617009</v>
      </c>
      <c r="AP39" s="161">
        <v>139.56844062677305</v>
      </c>
      <c r="AQ39" s="161">
        <v>224.16277339545977</v>
      </c>
      <c r="AR39" s="160" t="s">
        <v>266</v>
      </c>
      <c r="AT39" s="84">
        <v>-1000000000</v>
      </c>
      <c r="AU39" s="161">
        <v>0</v>
      </c>
      <c r="AV39" s="162">
        <v>20.973765393786493</v>
      </c>
      <c r="AW39" s="161">
        <v>40.908223960690499</v>
      </c>
      <c r="AX39" s="161">
        <v>174.62556843458799</v>
      </c>
      <c r="AY39" s="160" t="s">
        <v>266</v>
      </c>
      <c r="BA39" s="84"/>
      <c r="BB39" s="161"/>
      <c r="BC39" s="162"/>
      <c r="BD39" s="161"/>
      <c r="BE39" s="161"/>
      <c r="BF39" s="160"/>
      <c r="BH39" s="84"/>
      <c r="BI39" s="161"/>
      <c r="BJ39" s="162"/>
      <c r="BK39" s="161"/>
      <c r="BL39" s="161"/>
      <c r="BM39" s="160"/>
      <c r="BO39" s="84"/>
      <c r="BP39" s="161"/>
      <c r="BQ39" s="162"/>
      <c r="BR39" s="161"/>
      <c r="BS39" s="161"/>
      <c r="BT39" s="160"/>
      <c r="BV39" s="84"/>
      <c r="BW39" s="161"/>
      <c r="BX39" s="162"/>
      <c r="BY39" s="161"/>
      <c r="BZ39" s="161"/>
      <c r="CA39" s="160"/>
      <c r="CC39" s="84"/>
      <c r="CD39" s="161"/>
      <c r="CE39" s="162"/>
      <c r="CF39" s="161"/>
      <c r="CG39" s="161"/>
      <c r="CH39" s="160"/>
      <c r="CJ39" s="84"/>
      <c r="CK39" s="161"/>
      <c r="CL39" s="162"/>
      <c r="CM39" s="161"/>
      <c r="CN39" s="161"/>
      <c r="CO39" s="160"/>
      <c r="CQ39" s="84"/>
      <c r="CR39" s="161"/>
      <c r="CS39" s="162"/>
      <c r="CT39" s="161"/>
      <c r="CU39" s="161"/>
      <c r="CV39" s="160"/>
      <c r="CX39" s="84"/>
      <c r="CY39" s="161"/>
      <c r="CZ39" s="162"/>
      <c r="DA39" s="161"/>
      <c r="DB39" s="161"/>
      <c r="DC39" s="160"/>
      <c r="DE39" s="84"/>
      <c r="DF39" s="161"/>
      <c r="DG39" s="162"/>
      <c r="DH39" s="161"/>
      <c r="DI39" s="161"/>
      <c r="DJ39" s="160"/>
      <c r="DL39" s="84"/>
      <c r="DM39" s="161"/>
      <c r="DN39" s="162"/>
      <c r="DO39" s="161"/>
      <c r="DP39" s="161"/>
      <c r="DQ39" s="160"/>
      <c r="DS39" s="84"/>
      <c r="DT39" s="161"/>
      <c r="DU39" s="162"/>
      <c r="DV39" s="161"/>
      <c r="DW39" s="161"/>
      <c r="DX39" s="160"/>
      <c r="DZ39" s="84"/>
      <c r="EA39" s="161"/>
      <c r="EB39" s="162"/>
      <c r="EC39" s="161"/>
      <c r="ED39" s="161"/>
      <c r="EE39" s="160"/>
      <c r="EG39" s="84"/>
      <c r="EH39" s="161"/>
      <c r="EI39" s="162"/>
      <c r="EJ39" s="161"/>
      <c r="EK39" s="161"/>
      <c r="EL39" s="160"/>
      <c r="EN39" s="84"/>
      <c r="EO39" s="161"/>
      <c r="EP39" s="162"/>
      <c r="EQ39" s="161"/>
      <c r="ER39" s="161"/>
      <c r="ES39" s="160"/>
    </row>
    <row r="40" spans="1:149" s="157" customFormat="1" x14ac:dyDescent="0.25">
      <c r="A40" s="156"/>
      <c r="B40" s="157" t="s">
        <v>174</v>
      </c>
      <c r="C40" s="173">
        <v>1</v>
      </c>
      <c r="D40" s="84">
        <v>-1000000000</v>
      </c>
      <c r="E40" s="161">
        <v>0.3892538694001158</v>
      </c>
      <c r="F40" s="162">
        <v>11.971733109443493</v>
      </c>
      <c r="G40" s="161">
        <v>37.472225107246118</v>
      </c>
      <c r="H40" s="161">
        <v>91.3009888302783</v>
      </c>
      <c r="I40" s="160" t="s">
        <v>266</v>
      </c>
      <c r="J40" s="160"/>
      <c r="K40" s="84">
        <v>-1000000000</v>
      </c>
      <c r="L40" s="161">
        <v>2.5266392979749881</v>
      </c>
      <c r="M40" s="162">
        <v>8.8430302422065221</v>
      </c>
      <c r="N40" s="161">
        <v>33.011852361534274</v>
      </c>
      <c r="O40" s="161">
        <v>57.981273731953358</v>
      </c>
      <c r="P40" s="160" t="s">
        <v>266</v>
      </c>
      <c r="R40" s="84">
        <v>-1000000000</v>
      </c>
      <c r="S40" s="161">
        <v>0</v>
      </c>
      <c r="T40" s="162">
        <v>3.2428584522318324</v>
      </c>
      <c r="U40" s="161">
        <v>34.597243629073624</v>
      </c>
      <c r="V40" s="161">
        <v>86.507257680907628</v>
      </c>
      <c r="W40" s="160" t="s">
        <v>266</v>
      </c>
      <c r="Y40" s="84">
        <v>-1000000000</v>
      </c>
      <c r="Z40" s="161">
        <v>11.831848870639522</v>
      </c>
      <c r="AA40" s="162">
        <v>32.793302001918427</v>
      </c>
      <c r="AB40" s="161">
        <v>41.407858779197568</v>
      </c>
      <c r="AC40" s="161">
        <v>84.550840364498839</v>
      </c>
      <c r="AD40" s="160" t="s">
        <v>266</v>
      </c>
      <c r="AF40" s="84">
        <v>-1000000000</v>
      </c>
      <c r="AG40" s="161">
        <v>0</v>
      </c>
      <c r="AH40" s="162">
        <v>6.1885070755453908</v>
      </c>
      <c r="AI40" s="161">
        <v>26.880710705800627</v>
      </c>
      <c r="AJ40" s="161">
        <v>94.174152795010372</v>
      </c>
      <c r="AK40" s="160" t="s">
        <v>266</v>
      </c>
      <c r="AM40" s="84">
        <v>-1000000000</v>
      </c>
      <c r="AN40" s="161">
        <v>16.852706035003553</v>
      </c>
      <c r="AO40" s="162">
        <v>26.341378360166161</v>
      </c>
      <c r="AP40" s="161">
        <v>93.803671566819332</v>
      </c>
      <c r="AQ40" s="161">
        <v>124.86069437568131</v>
      </c>
      <c r="AR40" s="160" t="s">
        <v>266</v>
      </c>
      <c r="AT40" s="84">
        <v>-1000000000</v>
      </c>
      <c r="AU40" s="161">
        <v>0</v>
      </c>
      <c r="AV40" s="162">
        <v>29.654428233484438</v>
      </c>
      <c r="AW40" s="161">
        <v>63.250874031279004</v>
      </c>
      <c r="AX40" s="161">
        <v>174.2773857080546</v>
      </c>
      <c r="AY40" s="160" t="s">
        <v>266</v>
      </c>
      <c r="BA40" s="84"/>
      <c r="BB40" s="161"/>
      <c r="BC40" s="162"/>
      <c r="BD40" s="161"/>
      <c r="BE40" s="161"/>
      <c r="BF40" s="160"/>
      <c r="BH40" s="84"/>
      <c r="BI40" s="161"/>
      <c r="BJ40" s="162"/>
      <c r="BK40" s="161"/>
      <c r="BL40" s="161"/>
      <c r="BM40" s="160"/>
      <c r="BO40" s="84"/>
      <c r="BP40" s="161"/>
      <c r="BQ40" s="162"/>
      <c r="BR40" s="161"/>
      <c r="BS40" s="161"/>
      <c r="BT40" s="160"/>
      <c r="BV40" s="84"/>
      <c r="BW40" s="161"/>
      <c r="BX40" s="162"/>
      <c r="BY40" s="161"/>
      <c r="BZ40" s="161"/>
      <c r="CA40" s="160"/>
      <c r="CC40" s="84"/>
      <c r="CD40" s="161"/>
      <c r="CE40" s="162"/>
      <c r="CF40" s="161"/>
      <c r="CG40" s="161"/>
      <c r="CH40" s="160"/>
      <c r="CJ40" s="84"/>
      <c r="CK40" s="161"/>
      <c r="CL40" s="162"/>
      <c r="CM40" s="161"/>
      <c r="CN40" s="161"/>
      <c r="CO40" s="160"/>
      <c r="CQ40" s="84"/>
      <c r="CR40" s="161"/>
      <c r="CS40" s="162"/>
      <c r="CT40" s="161"/>
      <c r="CU40" s="161"/>
      <c r="CV40" s="160"/>
      <c r="CX40" s="84"/>
      <c r="CY40" s="161"/>
      <c r="CZ40" s="162"/>
      <c r="DA40" s="161"/>
      <c r="DB40" s="161"/>
      <c r="DC40" s="160"/>
      <c r="DE40" s="84"/>
      <c r="DF40" s="161"/>
      <c r="DG40" s="162"/>
      <c r="DH40" s="161"/>
      <c r="DI40" s="161"/>
      <c r="DJ40" s="160"/>
      <c r="DL40" s="84"/>
      <c r="DM40" s="161"/>
      <c r="DN40" s="162"/>
      <c r="DO40" s="161"/>
      <c r="DP40" s="161"/>
      <c r="DQ40" s="160"/>
      <c r="DS40" s="84"/>
      <c r="DT40" s="161"/>
      <c r="DU40" s="162"/>
      <c r="DV40" s="161"/>
      <c r="DW40" s="161"/>
      <c r="DX40" s="160"/>
      <c r="DZ40" s="84"/>
      <c r="EA40" s="161"/>
      <c r="EB40" s="162"/>
      <c r="EC40" s="161"/>
      <c r="ED40" s="161"/>
      <c r="EE40" s="160"/>
      <c r="EG40" s="84"/>
      <c r="EH40" s="161"/>
      <c r="EI40" s="162"/>
      <c r="EJ40" s="161"/>
      <c r="EK40" s="161"/>
      <c r="EL40" s="160"/>
      <c r="EN40" s="84"/>
      <c r="EO40" s="161"/>
      <c r="EP40" s="162"/>
      <c r="EQ40" s="161"/>
      <c r="ER40" s="161"/>
      <c r="ES40" s="160"/>
    </row>
    <row r="41" spans="1:149" s="157" customFormat="1" x14ac:dyDescent="0.25">
      <c r="A41" s="156"/>
      <c r="B41" s="163" t="s">
        <v>268</v>
      </c>
      <c r="C41" s="174"/>
      <c r="D41" s="164"/>
      <c r="E41" s="164"/>
      <c r="F41" s="165"/>
      <c r="G41" s="164"/>
      <c r="H41" s="164"/>
      <c r="I41" s="164"/>
      <c r="J41" s="166"/>
      <c r="K41" s="164"/>
      <c r="L41" s="164"/>
      <c r="M41" s="165"/>
      <c r="N41" s="164"/>
      <c r="O41" s="164"/>
      <c r="P41" s="164"/>
      <c r="R41" s="164"/>
      <c r="S41" s="164"/>
      <c r="T41" s="165"/>
      <c r="U41" s="164"/>
      <c r="V41" s="164"/>
      <c r="W41" s="164"/>
      <c r="Y41" s="164"/>
      <c r="Z41" s="164"/>
      <c r="AA41" s="165"/>
      <c r="AB41" s="164"/>
      <c r="AC41" s="164"/>
      <c r="AD41" s="164"/>
      <c r="AF41" s="164"/>
      <c r="AG41" s="164"/>
      <c r="AH41" s="165"/>
      <c r="AI41" s="164"/>
      <c r="AJ41" s="164"/>
      <c r="AK41" s="164"/>
      <c r="AM41" s="164"/>
      <c r="AN41" s="164"/>
      <c r="AO41" s="165"/>
      <c r="AP41" s="164"/>
      <c r="AQ41" s="164"/>
      <c r="AR41" s="164"/>
      <c r="AT41" s="164"/>
      <c r="AU41" s="164"/>
      <c r="AV41" s="165"/>
      <c r="AW41" s="164"/>
      <c r="AX41" s="164"/>
      <c r="AY41" s="164"/>
      <c r="BA41" s="164"/>
      <c r="BB41" s="164"/>
      <c r="BC41" s="165"/>
      <c r="BD41" s="164"/>
      <c r="BE41" s="164"/>
      <c r="BF41" s="164"/>
      <c r="BH41" s="164"/>
      <c r="BI41" s="164"/>
      <c r="BJ41" s="165"/>
      <c r="BK41" s="164"/>
      <c r="BL41" s="164"/>
      <c r="BM41" s="164"/>
      <c r="BO41" s="164"/>
      <c r="BP41" s="164"/>
      <c r="BQ41" s="165"/>
      <c r="BR41" s="164"/>
      <c r="BS41" s="164"/>
      <c r="BT41" s="164"/>
      <c r="BV41" s="164"/>
      <c r="BW41" s="164"/>
      <c r="BX41" s="165"/>
      <c r="BY41" s="164"/>
      <c r="BZ41" s="164"/>
      <c r="CA41" s="164"/>
      <c r="CC41" s="164"/>
      <c r="CD41" s="164"/>
      <c r="CE41" s="165"/>
      <c r="CF41" s="164"/>
      <c r="CG41" s="164"/>
      <c r="CH41" s="164"/>
      <c r="CJ41" s="164"/>
      <c r="CK41" s="164"/>
      <c r="CL41" s="165"/>
      <c r="CM41" s="164"/>
      <c r="CN41" s="164"/>
      <c r="CO41" s="164"/>
      <c r="CQ41" s="164"/>
      <c r="CR41" s="164"/>
      <c r="CS41" s="165"/>
      <c r="CT41" s="164"/>
      <c r="CU41" s="164"/>
      <c r="CV41" s="164"/>
      <c r="CX41" s="164"/>
      <c r="CY41" s="164"/>
      <c r="CZ41" s="165"/>
      <c r="DA41" s="164"/>
      <c r="DB41" s="164"/>
      <c r="DC41" s="164"/>
      <c r="DE41" s="164"/>
      <c r="DF41" s="164"/>
      <c r="DG41" s="165"/>
      <c r="DH41" s="164"/>
      <c r="DI41" s="164"/>
      <c r="DJ41" s="164"/>
      <c r="DL41" s="164"/>
      <c r="DM41" s="164"/>
      <c r="DN41" s="165"/>
      <c r="DO41" s="164"/>
      <c r="DP41" s="164"/>
      <c r="DQ41" s="164"/>
      <c r="DS41" s="164"/>
      <c r="DT41" s="164"/>
      <c r="DU41" s="165"/>
      <c r="DV41" s="164"/>
      <c r="DW41" s="164"/>
      <c r="DX41" s="164"/>
      <c r="DZ41" s="164"/>
      <c r="EA41" s="164"/>
      <c r="EB41" s="165"/>
      <c r="EC41" s="164"/>
      <c r="ED41" s="164"/>
      <c r="EE41" s="164"/>
      <c r="EG41" s="164"/>
      <c r="EH41" s="164"/>
      <c r="EI41" s="165"/>
      <c r="EJ41" s="164"/>
      <c r="EK41" s="164"/>
      <c r="EL41" s="164"/>
      <c r="EN41" s="164"/>
      <c r="EO41" s="164"/>
      <c r="EP41" s="165"/>
      <c r="EQ41" s="164"/>
      <c r="ER41" s="164"/>
      <c r="ES41" s="164"/>
    </row>
    <row r="42" spans="1:149" s="157" customFormat="1" x14ac:dyDescent="0.25">
      <c r="A42" s="156"/>
      <c r="B42" s="157" t="s">
        <v>176</v>
      </c>
      <c r="C42" s="173">
        <v>1</v>
      </c>
      <c r="D42" s="84">
        <v>-1000000000</v>
      </c>
      <c r="E42" s="158">
        <v>0</v>
      </c>
      <c r="F42" s="159">
        <v>0.26818310664734712</v>
      </c>
      <c r="G42" s="158">
        <v>1.0493151217997216</v>
      </c>
      <c r="H42" s="158">
        <v>4.283842983607963</v>
      </c>
      <c r="I42" s="160"/>
      <c r="J42" s="160"/>
      <c r="K42" s="84">
        <v>-1000000000</v>
      </c>
      <c r="L42" s="158">
        <v>6.2154139856724737E-3</v>
      </c>
      <c r="M42" s="159">
        <v>0.45337945939563062</v>
      </c>
      <c r="N42" s="158">
        <v>1.239119950170527</v>
      </c>
      <c r="O42" s="158">
        <v>5.8108412513141605</v>
      </c>
      <c r="P42" s="160"/>
      <c r="R42" s="84">
        <v>-1000000000</v>
      </c>
      <c r="S42" s="158">
        <v>0</v>
      </c>
      <c r="T42" s="159">
        <v>0.18947940315266765</v>
      </c>
      <c r="U42" s="158">
        <v>1.278206798611353</v>
      </c>
      <c r="V42" s="158">
        <v>4.4036744235909451</v>
      </c>
      <c r="W42" s="160"/>
      <c r="Y42" s="84">
        <v>-1000000000</v>
      </c>
      <c r="Z42" s="158">
        <v>7.969586032103633E-2</v>
      </c>
      <c r="AA42" s="159">
        <v>1.0375719750672254</v>
      </c>
      <c r="AB42" s="158">
        <v>2.5913506158773001</v>
      </c>
      <c r="AC42" s="158">
        <v>12.66533409480297</v>
      </c>
      <c r="AD42" s="160"/>
      <c r="AF42" s="84">
        <v>-1000000000</v>
      </c>
      <c r="AG42" s="158">
        <v>0</v>
      </c>
      <c r="AH42" s="159">
        <v>3.0442130677498871E-2</v>
      </c>
      <c r="AI42" s="158">
        <v>0.60302099101941131</v>
      </c>
      <c r="AJ42" s="158">
        <v>2.9972464216688461</v>
      </c>
      <c r="AK42" s="160"/>
      <c r="AM42" s="84">
        <v>-1000000000</v>
      </c>
      <c r="AN42" s="158">
        <v>5.5986290584039691E-3</v>
      </c>
      <c r="AO42" s="159">
        <v>0.18532171404001863</v>
      </c>
      <c r="AP42" s="158">
        <v>0.85740983262792902</v>
      </c>
      <c r="AQ42" s="158">
        <v>1.5828037096089296</v>
      </c>
      <c r="AR42" s="160"/>
      <c r="AT42" s="84">
        <v>-1000000000</v>
      </c>
      <c r="AU42" s="158">
        <v>0</v>
      </c>
      <c r="AV42" s="159">
        <v>0.15718168930269186</v>
      </c>
      <c r="AW42" s="158">
        <v>0.67643520291346548</v>
      </c>
      <c r="AX42" s="158">
        <v>2.5836339052095316</v>
      </c>
      <c r="AY42" s="160"/>
      <c r="BA42" s="84"/>
      <c r="BB42" s="158"/>
      <c r="BC42" s="159"/>
      <c r="BD42" s="158"/>
      <c r="BE42" s="158"/>
      <c r="BF42" s="160"/>
      <c r="BH42" s="84"/>
      <c r="BI42" s="158"/>
      <c r="BJ42" s="159"/>
      <c r="BK42" s="158"/>
      <c r="BL42" s="158"/>
      <c r="BM42" s="160"/>
      <c r="BO42" s="84"/>
      <c r="BP42" s="158"/>
      <c r="BQ42" s="159"/>
      <c r="BR42" s="158"/>
      <c r="BS42" s="158"/>
      <c r="BT42" s="160"/>
      <c r="BV42" s="84"/>
      <c r="BW42" s="158"/>
      <c r="BX42" s="159"/>
      <c r="BY42" s="158"/>
      <c r="BZ42" s="158"/>
      <c r="CA42" s="160"/>
      <c r="CC42" s="84"/>
      <c r="CD42" s="158"/>
      <c r="CE42" s="159"/>
      <c r="CF42" s="158"/>
      <c r="CG42" s="158"/>
      <c r="CH42" s="160"/>
      <c r="CJ42" s="84"/>
      <c r="CK42" s="158"/>
      <c r="CL42" s="159"/>
      <c r="CM42" s="158"/>
      <c r="CN42" s="158"/>
      <c r="CO42" s="160"/>
      <c r="CQ42" s="84"/>
      <c r="CR42" s="158"/>
      <c r="CS42" s="159"/>
      <c r="CT42" s="158"/>
      <c r="CU42" s="158"/>
      <c r="CV42" s="160"/>
      <c r="CX42" s="84"/>
      <c r="CY42" s="158"/>
      <c r="CZ42" s="159"/>
      <c r="DA42" s="158"/>
      <c r="DB42" s="158"/>
      <c r="DC42" s="160"/>
      <c r="DE42" s="84"/>
      <c r="DF42" s="158"/>
      <c r="DG42" s="159"/>
      <c r="DH42" s="158"/>
      <c r="DI42" s="158"/>
      <c r="DJ42" s="160"/>
      <c r="DL42" s="84"/>
      <c r="DM42" s="158"/>
      <c r="DN42" s="159"/>
      <c r="DO42" s="158"/>
      <c r="DP42" s="158"/>
      <c r="DQ42" s="160"/>
      <c r="DS42" s="84"/>
      <c r="DT42" s="158"/>
      <c r="DU42" s="159"/>
      <c r="DV42" s="158"/>
      <c r="DW42" s="158"/>
      <c r="DX42" s="160"/>
      <c r="DZ42" s="84"/>
      <c r="EA42" s="158"/>
      <c r="EB42" s="159"/>
      <c r="EC42" s="158"/>
      <c r="ED42" s="158"/>
      <c r="EE42" s="160"/>
      <c r="EG42" s="84"/>
      <c r="EH42" s="158"/>
      <c r="EI42" s="159"/>
      <c r="EJ42" s="158"/>
      <c r="EK42" s="158"/>
      <c r="EL42" s="160"/>
      <c r="EN42" s="84"/>
      <c r="EO42" s="158"/>
      <c r="EP42" s="159"/>
      <c r="EQ42" s="158"/>
      <c r="ER42" s="158"/>
      <c r="ES42" s="160"/>
    </row>
    <row r="43" spans="1:149" s="157" customFormat="1" x14ac:dyDescent="0.25">
      <c r="A43" s="156"/>
      <c r="B43" s="157" t="s">
        <v>153</v>
      </c>
      <c r="C43" s="173">
        <v>1</v>
      </c>
      <c r="D43" s="84">
        <v>-1000000000</v>
      </c>
      <c r="E43" s="67">
        <v>0.35583260117265247</v>
      </c>
      <c r="F43" s="68">
        <v>1.3079783096536994</v>
      </c>
      <c r="G43" s="69">
        <v>4.059584527609621</v>
      </c>
      <c r="H43" s="69">
        <v>13.234650455927063</v>
      </c>
      <c r="I43" s="160"/>
      <c r="J43" s="160"/>
      <c r="K43" s="84">
        <v>-1000000000</v>
      </c>
      <c r="L43" s="67">
        <v>0.46472241481858551</v>
      </c>
      <c r="M43" s="68">
        <v>1.3777980340632943</v>
      </c>
      <c r="N43" s="69">
        <v>4.1123817426742164</v>
      </c>
      <c r="O43" s="69">
        <v>13.588540579775895</v>
      </c>
      <c r="P43" s="160"/>
      <c r="R43" s="84">
        <v>-1000000000</v>
      </c>
      <c r="S43" s="67">
        <v>1.9701436827562466</v>
      </c>
      <c r="T43" s="68">
        <v>4.6748112780043556</v>
      </c>
      <c r="U43" s="69">
        <v>6.9191356580887957</v>
      </c>
      <c r="V43" s="69">
        <v>11.259763971878478</v>
      </c>
      <c r="W43" s="160"/>
      <c r="Y43" s="84">
        <v>-1000000000</v>
      </c>
      <c r="Z43" s="67">
        <v>0.54517133956386288</v>
      </c>
      <c r="AA43" s="68">
        <v>1.7198078444851208</v>
      </c>
      <c r="AB43" s="69">
        <v>3.3002682536960934</v>
      </c>
      <c r="AC43" s="69">
        <v>33.557938973111327</v>
      </c>
      <c r="AD43" s="160"/>
      <c r="AF43" s="84">
        <v>-1000000000</v>
      </c>
      <c r="AG43" s="67">
        <v>0.10875416488869291</v>
      </c>
      <c r="AH43" s="68">
        <v>0.85770867342842627</v>
      </c>
      <c r="AI43" s="69">
        <v>3.9944832610351328</v>
      </c>
      <c r="AJ43" s="69">
        <v>9.8265075593609286</v>
      </c>
      <c r="AK43" s="160"/>
      <c r="AM43" s="84">
        <v>-1000000000</v>
      </c>
      <c r="AN43" s="67">
        <v>0.99733786736466623</v>
      </c>
      <c r="AO43" s="68">
        <v>2.0984881318151269</v>
      </c>
      <c r="AP43" s="69">
        <v>4.3199714808148544</v>
      </c>
      <c r="AQ43" s="69">
        <v>19.785094432558854</v>
      </c>
      <c r="AR43" s="160"/>
      <c r="AT43" s="84">
        <v>-1000000000</v>
      </c>
      <c r="AU43" s="67">
        <v>0.46920181747276973</v>
      </c>
      <c r="AV43" s="68">
        <v>1.7671483865053996</v>
      </c>
      <c r="AW43" s="69">
        <v>3.0651098748388197</v>
      </c>
      <c r="AX43" s="69">
        <v>8.7572218960963824</v>
      </c>
      <c r="AY43" s="160"/>
      <c r="BA43" s="84"/>
      <c r="BB43" s="67"/>
      <c r="BC43" s="68"/>
      <c r="BD43" s="69"/>
      <c r="BE43" s="69"/>
      <c r="BF43" s="160"/>
      <c r="BH43" s="84"/>
      <c r="BI43" s="67"/>
      <c r="BJ43" s="68"/>
      <c r="BK43" s="69"/>
      <c r="BL43" s="69"/>
      <c r="BM43" s="160"/>
      <c r="BO43" s="84"/>
      <c r="BP43" s="67"/>
      <c r="BQ43" s="68"/>
      <c r="BR43" s="69"/>
      <c r="BS43" s="69"/>
      <c r="BT43" s="160"/>
      <c r="BV43" s="84"/>
      <c r="BW43" s="67"/>
      <c r="BX43" s="68"/>
      <c r="BY43" s="69"/>
      <c r="BZ43" s="69"/>
      <c r="CA43" s="160"/>
      <c r="CC43" s="84"/>
      <c r="CD43" s="67"/>
      <c r="CE43" s="68"/>
      <c r="CF43" s="69"/>
      <c r="CG43" s="69"/>
      <c r="CH43" s="160"/>
      <c r="CJ43" s="84"/>
      <c r="CK43" s="67"/>
      <c r="CL43" s="68"/>
      <c r="CM43" s="69"/>
      <c r="CN43" s="69"/>
      <c r="CO43" s="160"/>
      <c r="CQ43" s="84"/>
      <c r="CR43" s="67"/>
      <c r="CS43" s="68"/>
      <c r="CT43" s="69"/>
      <c r="CU43" s="69"/>
      <c r="CV43" s="160"/>
      <c r="CX43" s="84"/>
      <c r="CY43" s="67"/>
      <c r="CZ43" s="68"/>
      <c r="DA43" s="69"/>
      <c r="DB43" s="69"/>
      <c r="DC43" s="160"/>
      <c r="DE43" s="84"/>
      <c r="DF43" s="67"/>
      <c r="DG43" s="68"/>
      <c r="DH43" s="69"/>
      <c r="DI43" s="69"/>
      <c r="DJ43" s="160"/>
      <c r="DL43" s="84"/>
      <c r="DM43" s="67"/>
      <c r="DN43" s="68"/>
      <c r="DO43" s="69"/>
      <c r="DP43" s="69"/>
      <c r="DQ43" s="160"/>
      <c r="DS43" s="84"/>
      <c r="DT43" s="67"/>
      <c r="DU43" s="68"/>
      <c r="DV43" s="69"/>
      <c r="DW43" s="69"/>
      <c r="DX43" s="160"/>
      <c r="DZ43" s="84"/>
      <c r="EA43" s="67"/>
      <c r="EB43" s="68"/>
      <c r="EC43" s="69"/>
      <c r="ED43" s="69"/>
      <c r="EE43" s="160"/>
      <c r="EG43" s="84"/>
      <c r="EH43" s="67"/>
      <c r="EI43" s="68"/>
      <c r="EJ43" s="69"/>
      <c r="EK43" s="69"/>
      <c r="EL43" s="160"/>
      <c r="EN43" s="84"/>
      <c r="EO43" s="67"/>
      <c r="EP43" s="68"/>
      <c r="EQ43" s="69"/>
      <c r="ER43" s="69"/>
      <c r="ES43" s="160"/>
    </row>
    <row r="44" spans="1:149" s="157" customFormat="1" x14ac:dyDescent="0.25">
      <c r="A44" s="156"/>
      <c r="B44" s="163" t="s">
        <v>269</v>
      </c>
      <c r="C44" s="174"/>
      <c r="D44" s="167"/>
      <c r="E44" s="168"/>
      <c r="F44" s="169"/>
      <c r="G44" s="170"/>
      <c r="H44" s="170"/>
      <c r="I44" s="167"/>
      <c r="J44" s="171"/>
      <c r="K44" s="167"/>
      <c r="L44" s="168"/>
      <c r="M44" s="169"/>
      <c r="N44" s="170"/>
      <c r="O44" s="170"/>
      <c r="P44" s="167"/>
      <c r="R44" s="167"/>
      <c r="S44" s="168"/>
      <c r="T44" s="169"/>
      <c r="U44" s="170"/>
      <c r="V44" s="170"/>
      <c r="W44" s="167"/>
      <c r="Y44" s="167"/>
      <c r="Z44" s="168"/>
      <c r="AA44" s="169"/>
      <c r="AB44" s="170"/>
      <c r="AC44" s="170"/>
      <c r="AD44" s="167"/>
      <c r="AF44" s="167"/>
      <c r="AG44" s="168"/>
      <c r="AH44" s="169"/>
      <c r="AI44" s="170"/>
      <c r="AJ44" s="170"/>
      <c r="AK44" s="167"/>
      <c r="AM44" s="167"/>
      <c r="AN44" s="168"/>
      <c r="AO44" s="169"/>
      <c r="AP44" s="170"/>
      <c r="AQ44" s="170"/>
      <c r="AR44" s="167"/>
      <c r="AT44" s="167"/>
      <c r="AU44" s="168"/>
      <c r="AV44" s="169"/>
      <c r="AW44" s="170"/>
      <c r="AX44" s="170"/>
      <c r="AY44" s="167"/>
      <c r="BA44" s="167"/>
      <c r="BB44" s="168"/>
      <c r="BC44" s="169"/>
      <c r="BD44" s="170"/>
      <c r="BE44" s="170"/>
      <c r="BF44" s="167"/>
      <c r="BH44" s="167"/>
      <c r="BI44" s="168"/>
      <c r="BJ44" s="169"/>
      <c r="BK44" s="170"/>
      <c r="BL44" s="170"/>
      <c r="BM44" s="167"/>
      <c r="BO44" s="167"/>
      <c r="BP44" s="168"/>
      <c r="BQ44" s="169"/>
      <c r="BR44" s="170"/>
      <c r="BS44" s="170"/>
      <c r="BT44" s="167"/>
      <c r="BV44" s="167"/>
      <c r="BW44" s="168"/>
      <c r="BX44" s="169"/>
      <c r="BY44" s="170"/>
      <c r="BZ44" s="170"/>
      <c r="CA44" s="167"/>
      <c r="CC44" s="167"/>
      <c r="CD44" s="168"/>
      <c r="CE44" s="169"/>
      <c r="CF44" s="170"/>
      <c r="CG44" s="170"/>
      <c r="CH44" s="167"/>
      <c r="CJ44" s="167"/>
      <c r="CK44" s="168"/>
      <c r="CL44" s="169"/>
      <c r="CM44" s="170"/>
      <c r="CN44" s="170"/>
      <c r="CO44" s="167"/>
      <c r="CQ44" s="167"/>
      <c r="CR44" s="168"/>
      <c r="CS44" s="169"/>
      <c r="CT44" s="170"/>
      <c r="CU44" s="170"/>
      <c r="CV44" s="167"/>
      <c r="CX44" s="167"/>
      <c r="CY44" s="168"/>
      <c r="CZ44" s="169"/>
      <c r="DA44" s="170"/>
      <c r="DB44" s="170"/>
      <c r="DC44" s="167"/>
      <c r="DE44" s="167"/>
      <c r="DF44" s="168"/>
      <c r="DG44" s="169"/>
      <c r="DH44" s="170"/>
      <c r="DI44" s="170"/>
      <c r="DJ44" s="167"/>
      <c r="DL44" s="167"/>
      <c r="DM44" s="168"/>
      <c r="DN44" s="169"/>
      <c r="DO44" s="170"/>
      <c r="DP44" s="170"/>
      <c r="DQ44" s="167"/>
      <c r="DS44" s="167"/>
      <c r="DT44" s="168"/>
      <c r="DU44" s="169"/>
      <c r="DV44" s="170"/>
      <c r="DW44" s="170"/>
      <c r="DX44" s="167"/>
      <c r="DZ44" s="167"/>
      <c r="EA44" s="168"/>
      <c r="EB44" s="169"/>
      <c r="EC44" s="170"/>
      <c r="ED44" s="170"/>
      <c r="EE44" s="167"/>
      <c r="EG44" s="167"/>
      <c r="EH44" s="168"/>
      <c r="EI44" s="169"/>
      <c r="EJ44" s="170"/>
      <c r="EK44" s="170"/>
      <c r="EL44" s="167"/>
      <c r="EN44" s="167"/>
      <c r="EO44" s="168"/>
      <c r="EP44" s="169"/>
      <c r="EQ44" s="170"/>
      <c r="ER44" s="170"/>
      <c r="ES44" s="167"/>
    </row>
    <row r="45" spans="1:149" s="157" customFormat="1" x14ac:dyDescent="0.25">
      <c r="A45" s="156"/>
      <c r="B45" s="157" t="s">
        <v>178</v>
      </c>
      <c r="C45" s="173">
        <v>3</v>
      </c>
      <c r="D45" s="84">
        <v>-1000000000</v>
      </c>
      <c r="E45" s="172">
        <v>1.7826990991035911</v>
      </c>
      <c r="F45" s="162">
        <v>3.803197008605693</v>
      </c>
      <c r="G45" s="161">
        <v>9.697630204846698</v>
      </c>
      <c r="H45" s="161">
        <v>80.651349465309153</v>
      </c>
      <c r="I45" s="160"/>
      <c r="J45" s="160"/>
      <c r="K45" s="84">
        <v>-1000000000</v>
      </c>
      <c r="L45" s="172">
        <v>1.7826990991035911</v>
      </c>
      <c r="M45" s="162">
        <v>3.803197008605693</v>
      </c>
      <c r="N45" s="161">
        <v>9.697630204846698</v>
      </c>
      <c r="O45" s="161">
        <v>80.651349465309153</v>
      </c>
      <c r="P45" s="160"/>
      <c r="R45" s="84">
        <v>-1000000000</v>
      </c>
      <c r="S45" s="172">
        <v>1.7826990991035911</v>
      </c>
      <c r="T45" s="162">
        <v>3.803197008605693</v>
      </c>
      <c r="U45" s="161">
        <v>9.697630204846698</v>
      </c>
      <c r="V45" s="161">
        <v>80.651349465309153</v>
      </c>
      <c r="W45" s="160"/>
      <c r="Y45" s="84">
        <v>-1000000000</v>
      </c>
      <c r="Z45" s="172">
        <v>1.7826990991035911</v>
      </c>
      <c r="AA45" s="162">
        <v>3.803197008605693</v>
      </c>
      <c r="AB45" s="161">
        <v>9.697630204846698</v>
      </c>
      <c r="AC45" s="161">
        <v>80.651349465309153</v>
      </c>
      <c r="AD45" s="160"/>
      <c r="AF45" s="84">
        <v>-1000000000</v>
      </c>
      <c r="AG45" s="172">
        <v>1.7826990991035911</v>
      </c>
      <c r="AH45" s="162">
        <v>3.803197008605693</v>
      </c>
      <c r="AI45" s="161">
        <v>9.697630204846698</v>
      </c>
      <c r="AJ45" s="161">
        <v>80.651349465309153</v>
      </c>
      <c r="AK45" s="160"/>
      <c r="AM45" s="84">
        <v>-1000000000</v>
      </c>
      <c r="AN45" s="172">
        <v>1.7826990991035911</v>
      </c>
      <c r="AO45" s="162">
        <v>3.803197008605693</v>
      </c>
      <c r="AP45" s="161">
        <v>9.697630204846698</v>
      </c>
      <c r="AQ45" s="161">
        <v>80.651349465309153</v>
      </c>
      <c r="AR45" s="160"/>
      <c r="AT45" s="84">
        <v>-1000000000</v>
      </c>
      <c r="AU45" s="172">
        <v>1.7826990991035911</v>
      </c>
      <c r="AV45" s="162">
        <v>3.803197008605693</v>
      </c>
      <c r="AW45" s="161">
        <v>9.697630204846698</v>
      </c>
      <c r="AX45" s="161">
        <v>80.651349465309153</v>
      </c>
      <c r="AY45" s="160"/>
      <c r="BA45" s="84"/>
      <c r="BB45" s="172"/>
      <c r="BC45" s="162"/>
      <c r="BD45" s="161"/>
      <c r="BE45" s="161"/>
      <c r="BF45" s="160"/>
      <c r="BH45" s="84"/>
      <c r="BI45" s="172"/>
      <c r="BJ45" s="162"/>
      <c r="BK45" s="161"/>
      <c r="BL45" s="161"/>
      <c r="BM45" s="160"/>
      <c r="BO45" s="84"/>
      <c r="BP45" s="172"/>
      <c r="BQ45" s="162"/>
      <c r="BR45" s="161"/>
      <c r="BS45" s="161"/>
      <c r="BT45" s="160"/>
      <c r="BV45" s="84"/>
      <c r="BW45" s="172"/>
      <c r="BX45" s="162"/>
      <c r="BY45" s="161"/>
      <c r="BZ45" s="161"/>
      <c r="CA45" s="160"/>
      <c r="CC45" s="84"/>
      <c r="CD45" s="172"/>
      <c r="CE45" s="162"/>
      <c r="CF45" s="161"/>
      <c r="CG45" s="161"/>
      <c r="CH45" s="160"/>
      <c r="CJ45" s="84"/>
      <c r="CK45" s="172"/>
      <c r="CL45" s="162"/>
      <c r="CM45" s="161"/>
      <c r="CN45" s="161"/>
      <c r="CO45" s="160"/>
      <c r="CQ45" s="84"/>
      <c r="CR45" s="172"/>
      <c r="CS45" s="162"/>
      <c r="CT45" s="161"/>
      <c r="CU45" s="161"/>
      <c r="CV45" s="160"/>
      <c r="CX45" s="84"/>
      <c r="CY45" s="172"/>
      <c r="CZ45" s="162"/>
      <c r="DA45" s="161"/>
      <c r="DB45" s="161"/>
      <c r="DC45" s="160"/>
      <c r="DE45" s="84"/>
      <c r="DF45" s="172"/>
      <c r="DG45" s="162"/>
      <c r="DH45" s="161"/>
      <c r="DI45" s="161"/>
      <c r="DJ45" s="160"/>
      <c r="DL45" s="84"/>
      <c r="DM45" s="172"/>
      <c r="DN45" s="162"/>
      <c r="DO45" s="161"/>
      <c r="DP45" s="161"/>
      <c r="DQ45" s="160"/>
      <c r="DS45" s="84"/>
      <c r="DT45" s="172"/>
      <c r="DU45" s="162"/>
      <c r="DV45" s="161"/>
      <c r="DW45" s="161"/>
      <c r="DX45" s="160"/>
      <c r="DZ45" s="84"/>
      <c r="EA45" s="172"/>
      <c r="EB45" s="162"/>
      <c r="EC45" s="161"/>
      <c r="ED45" s="161"/>
      <c r="EE45" s="160"/>
      <c r="EG45" s="84"/>
      <c r="EH45" s="172"/>
      <c r="EI45" s="162"/>
      <c r="EJ45" s="161"/>
      <c r="EK45" s="161"/>
      <c r="EL45" s="160"/>
      <c r="EN45" s="84"/>
      <c r="EO45" s="172"/>
      <c r="EP45" s="162"/>
      <c r="EQ45" s="161"/>
      <c r="ER45" s="161"/>
      <c r="ES45" s="160"/>
    </row>
    <row r="46" spans="1:149" s="157" customFormat="1" x14ac:dyDescent="0.25">
      <c r="A46" s="156"/>
      <c r="B46" s="157" t="s">
        <v>209</v>
      </c>
      <c r="C46" s="173">
        <v>1</v>
      </c>
      <c r="D46" s="84">
        <v>-1000000000</v>
      </c>
      <c r="E46" s="161">
        <v>0</v>
      </c>
      <c r="F46" s="162">
        <v>0.66693031052187413</v>
      </c>
      <c r="G46" s="161">
        <v>1.9402064119455424</v>
      </c>
      <c r="H46" s="161">
        <v>4.5303877036117894</v>
      </c>
      <c r="I46" s="160"/>
      <c r="J46" s="160"/>
      <c r="K46" s="84">
        <v>-1000000000</v>
      </c>
      <c r="L46" s="161">
        <v>0</v>
      </c>
      <c r="M46" s="162">
        <v>0.66693031052187413</v>
      </c>
      <c r="N46" s="161">
        <v>1.9402064119455424</v>
      </c>
      <c r="O46" s="161">
        <v>4.5303877036117894</v>
      </c>
      <c r="P46" s="160"/>
      <c r="R46" s="84">
        <v>-1000000000</v>
      </c>
      <c r="S46" s="161">
        <v>0</v>
      </c>
      <c r="T46" s="162">
        <v>0.66693031052187413</v>
      </c>
      <c r="U46" s="161">
        <v>1.9402064119455424</v>
      </c>
      <c r="V46" s="161">
        <v>4.5303877036117894</v>
      </c>
      <c r="W46" s="160"/>
      <c r="Y46" s="84">
        <v>-1000000000</v>
      </c>
      <c r="Z46" s="161">
        <v>0</v>
      </c>
      <c r="AA46" s="162">
        <v>0.66693031052187413</v>
      </c>
      <c r="AB46" s="161">
        <v>1.9402064119455424</v>
      </c>
      <c r="AC46" s="161">
        <v>4.5303877036117894</v>
      </c>
      <c r="AD46" s="160"/>
      <c r="AF46" s="84">
        <v>-1000000000</v>
      </c>
      <c r="AG46" s="161">
        <v>0</v>
      </c>
      <c r="AH46" s="162">
        <v>0.66693031052187413</v>
      </c>
      <c r="AI46" s="161">
        <v>1.9402064119455424</v>
      </c>
      <c r="AJ46" s="161">
        <v>4.5303877036117894</v>
      </c>
      <c r="AK46" s="160"/>
      <c r="AM46" s="84">
        <v>-1000000000</v>
      </c>
      <c r="AN46" s="161">
        <v>0</v>
      </c>
      <c r="AO46" s="162">
        <v>0.66693031052187413</v>
      </c>
      <c r="AP46" s="161">
        <v>1.9402064119455424</v>
      </c>
      <c r="AQ46" s="161">
        <v>4.5303877036117894</v>
      </c>
      <c r="AR46" s="160"/>
      <c r="AT46" s="84">
        <v>-1000000000</v>
      </c>
      <c r="AU46" s="161">
        <v>0</v>
      </c>
      <c r="AV46" s="162">
        <v>0.66693031052187413</v>
      </c>
      <c r="AW46" s="161">
        <v>1.9402064119455424</v>
      </c>
      <c r="AX46" s="161">
        <v>4.5303877036117894</v>
      </c>
      <c r="AY46" s="160"/>
      <c r="BA46" s="84"/>
      <c r="BB46" s="161"/>
      <c r="BC46" s="162"/>
      <c r="BD46" s="161"/>
      <c r="BE46" s="161"/>
      <c r="BF46" s="160"/>
      <c r="BH46" s="84"/>
      <c r="BI46" s="161"/>
      <c r="BJ46" s="162"/>
      <c r="BK46" s="161"/>
      <c r="BL46" s="161"/>
      <c r="BM46" s="160"/>
      <c r="BO46" s="84"/>
      <c r="BP46" s="161"/>
      <c r="BQ46" s="162"/>
      <c r="BR46" s="161"/>
      <c r="BS46" s="161"/>
      <c r="BT46" s="160"/>
      <c r="BV46" s="84"/>
      <c r="BW46" s="161"/>
      <c r="BX46" s="162"/>
      <c r="BY46" s="161"/>
      <c r="BZ46" s="161"/>
      <c r="CA46" s="160"/>
      <c r="CC46" s="84"/>
      <c r="CD46" s="161"/>
      <c r="CE46" s="162"/>
      <c r="CF46" s="161"/>
      <c r="CG46" s="161"/>
      <c r="CH46" s="160"/>
      <c r="CJ46" s="84"/>
      <c r="CK46" s="161"/>
      <c r="CL46" s="162"/>
      <c r="CM46" s="161"/>
      <c r="CN46" s="161"/>
      <c r="CO46" s="160"/>
      <c r="CQ46" s="84"/>
      <c r="CR46" s="161"/>
      <c r="CS46" s="162"/>
      <c r="CT46" s="161"/>
      <c r="CU46" s="161"/>
      <c r="CV46" s="160"/>
      <c r="CX46" s="84"/>
      <c r="CY46" s="161"/>
      <c r="CZ46" s="162"/>
      <c r="DA46" s="161"/>
      <c r="DB46" s="161"/>
      <c r="DC46" s="160"/>
      <c r="DE46" s="84"/>
      <c r="DF46" s="161"/>
      <c r="DG46" s="162"/>
      <c r="DH46" s="161"/>
      <c r="DI46" s="161"/>
      <c r="DJ46" s="160"/>
      <c r="DL46" s="84"/>
      <c r="DM46" s="161"/>
      <c r="DN46" s="162"/>
      <c r="DO46" s="161"/>
      <c r="DP46" s="161"/>
      <c r="DQ46" s="160"/>
      <c r="DS46" s="84"/>
      <c r="DT46" s="161"/>
      <c r="DU46" s="162"/>
      <c r="DV46" s="161"/>
      <c r="DW46" s="161"/>
      <c r="DX46" s="160"/>
      <c r="DZ46" s="84"/>
      <c r="EA46" s="161"/>
      <c r="EB46" s="162"/>
      <c r="EC46" s="161"/>
      <c r="ED46" s="161"/>
      <c r="EE46" s="160"/>
      <c r="EG46" s="84"/>
      <c r="EH46" s="161"/>
      <c r="EI46" s="162"/>
      <c r="EJ46" s="161"/>
      <c r="EK46" s="161"/>
      <c r="EL46" s="160"/>
      <c r="EN46" s="84"/>
      <c r="EO46" s="161"/>
      <c r="EP46" s="162"/>
      <c r="EQ46" s="161"/>
      <c r="ER46" s="161"/>
      <c r="ES46" s="160"/>
    </row>
    <row r="47" spans="1:149" s="157" customFormat="1" x14ac:dyDescent="0.25">
      <c r="A47" s="156"/>
      <c r="B47" s="157" t="s">
        <v>270</v>
      </c>
      <c r="C47" s="173">
        <v>2</v>
      </c>
      <c r="D47" s="84">
        <v>-1000000000</v>
      </c>
      <c r="E47" s="161">
        <v>1.0050188205771644</v>
      </c>
      <c r="F47" s="162">
        <v>2.0504264692098602</v>
      </c>
      <c r="G47" s="161">
        <v>7.3024054982817868</v>
      </c>
      <c r="H47" s="161">
        <v>36.086021505376344</v>
      </c>
      <c r="I47" s="160"/>
      <c r="J47" s="160"/>
      <c r="K47" s="84">
        <v>-1000000000</v>
      </c>
      <c r="L47" s="161">
        <v>1.0050188205771644</v>
      </c>
      <c r="M47" s="162">
        <v>2.0504264692098602</v>
      </c>
      <c r="N47" s="161">
        <v>7.3024054982817868</v>
      </c>
      <c r="O47" s="161">
        <v>36.086021505376344</v>
      </c>
      <c r="P47" s="160"/>
      <c r="R47" s="84">
        <v>-1000000000</v>
      </c>
      <c r="S47" s="161">
        <v>1.0050188205771644</v>
      </c>
      <c r="T47" s="162">
        <v>2.0504264692098602</v>
      </c>
      <c r="U47" s="161">
        <v>7.3024054982817868</v>
      </c>
      <c r="V47" s="161">
        <v>36.086021505376344</v>
      </c>
      <c r="W47" s="160"/>
      <c r="Y47" s="84">
        <v>-1000000000</v>
      </c>
      <c r="Z47" s="161">
        <v>1.0050188205771644</v>
      </c>
      <c r="AA47" s="162">
        <v>2.0504264692098602</v>
      </c>
      <c r="AB47" s="161">
        <v>7.3024054982817868</v>
      </c>
      <c r="AC47" s="161">
        <v>36.086021505376344</v>
      </c>
      <c r="AD47" s="160"/>
      <c r="AF47" s="84">
        <v>-1000000000</v>
      </c>
      <c r="AG47" s="161">
        <v>1.0050188205771644</v>
      </c>
      <c r="AH47" s="162">
        <v>2.0504264692098602</v>
      </c>
      <c r="AI47" s="161">
        <v>7.3024054982817868</v>
      </c>
      <c r="AJ47" s="161">
        <v>36.086021505376344</v>
      </c>
      <c r="AK47" s="160"/>
      <c r="AM47" s="84">
        <v>-1000000000</v>
      </c>
      <c r="AN47" s="161">
        <v>1.0050188205771644</v>
      </c>
      <c r="AO47" s="162">
        <v>2.0504264692098602</v>
      </c>
      <c r="AP47" s="161">
        <v>7.3024054982817868</v>
      </c>
      <c r="AQ47" s="161">
        <v>36.086021505376344</v>
      </c>
      <c r="AR47" s="160"/>
      <c r="AT47" s="84">
        <v>-1000000000</v>
      </c>
      <c r="AU47" s="161">
        <v>1.0050188205771644</v>
      </c>
      <c r="AV47" s="162">
        <v>2.0504264692098602</v>
      </c>
      <c r="AW47" s="161">
        <v>7.3024054982817868</v>
      </c>
      <c r="AX47" s="161">
        <v>36.086021505376344</v>
      </c>
      <c r="AY47" s="160"/>
      <c r="BA47" s="84"/>
      <c r="BB47" s="161"/>
      <c r="BC47" s="162"/>
      <c r="BD47" s="161"/>
      <c r="BE47" s="161"/>
      <c r="BF47" s="160"/>
      <c r="BH47" s="84"/>
      <c r="BI47" s="161"/>
      <c r="BJ47" s="162"/>
      <c r="BK47" s="161"/>
      <c r="BL47" s="161"/>
      <c r="BM47" s="160"/>
      <c r="BO47" s="84"/>
      <c r="BP47" s="161"/>
      <c r="BQ47" s="162"/>
      <c r="BR47" s="161"/>
      <c r="BS47" s="161"/>
      <c r="BT47" s="160"/>
      <c r="BV47" s="84"/>
      <c r="BW47" s="161"/>
      <c r="BX47" s="162"/>
      <c r="BY47" s="161"/>
      <c r="BZ47" s="161"/>
      <c r="CA47" s="160"/>
      <c r="CC47" s="84"/>
      <c r="CD47" s="161"/>
      <c r="CE47" s="162"/>
      <c r="CF47" s="161"/>
      <c r="CG47" s="161"/>
      <c r="CH47" s="160"/>
      <c r="CJ47" s="84"/>
      <c r="CK47" s="161"/>
      <c r="CL47" s="162"/>
      <c r="CM47" s="161"/>
      <c r="CN47" s="161"/>
      <c r="CO47" s="160"/>
      <c r="CQ47" s="84"/>
      <c r="CR47" s="161"/>
      <c r="CS47" s="162"/>
      <c r="CT47" s="161"/>
      <c r="CU47" s="161"/>
      <c r="CV47" s="160"/>
      <c r="CX47" s="84"/>
      <c r="CY47" s="161"/>
      <c r="CZ47" s="162"/>
      <c r="DA47" s="161"/>
      <c r="DB47" s="161"/>
      <c r="DC47" s="160"/>
      <c r="DE47" s="84"/>
      <c r="DF47" s="161"/>
      <c r="DG47" s="162"/>
      <c r="DH47" s="161"/>
      <c r="DI47" s="161"/>
      <c r="DJ47" s="160"/>
      <c r="DL47" s="84"/>
      <c r="DM47" s="161"/>
      <c r="DN47" s="162"/>
      <c r="DO47" s="161"/>
      <c r="DP47" s="161"/>
      <c r="DQ47" s="160"/>
      <c r="DS47" s="84"/>
      <c r="DT47" s="161"/>
      <c r="DU47" s="162"/>
      <c r="DV47" s="161"/>
      <c r="DW47" s="161"/>
      <c r="DX47" s="160"/>
      <c r="DZ47" s="84"/>
      <c r="EA47" s="161"/>
      <c r="EB47" s="162"/>
      <c r="EC47" s="161"/>
      <c r="ED47" s="161"/>
      <c r="EE47" s="160"/>
      <c r="EG47" s="84"/>
      <c r="EH47" s="161"/>
      <c r="EI47" s="162"/>
      <c r="EJ47" s="161"/>
      <c r="EK47" s="161"/>
      <c r="EL47" s="160"/>
      <c r="EN47" s="84"/>
      <c r="EO47" s="161"/>
      <c r="EP47" s="162"/>
      <c r="EQ47" s="161"/>
      <c r="ER47" s="161"/>
      <c r="ES47" s="160"/>
    </row>
    <row r="48" spans="1:149" x14ac:dyDescent="0.25">
      <c r="B48" s="58" t="s">
        <v>201</v>
      </c>
      <c r="C48" s="63"/>
      <c r="D48" s="23"/>
      <c r="E48" s="23"/>
      <c r="F48" s="73"/>
      <c r="G48" s="23"/>
      <c r="H48" s="23"/>
      <c r="I48" s="23"/>
      <c r="J48" s="57"/>
      <c r="K48" s="23"/>
      <c r="L48" s="23"/>
      <c r="M48" s="73"/>
      <c r="N48" s="23"/>
      <c r="O48" s="23"/>
      <c r="P48" s="23"/>
      <c r="R48" s="23"/>
      <c r="S48" s="23"/>
      <c r="T48" s="73"/>
      <c r="U48" s="23"/>
      <c r="V48" s="23"/>
      <c r="W48" s="23"/>
      <c r="Y48" s="23"/>
      <c r="Z48" s="23"/>
      <c r="AA48" s="73"/>
      <c r="AB48" s="23"/>
      <c r="AC48" s="23"/>
      <c r="AD48" s="23"/>
      <c r="AF48" s="23"/>
      <c r="AG48" s="23"/>
      <c r="AH48" s="73"/>
      <c r="AI48" s="23"/>
      <c r="AJ48" s="23"/>
      <c r="AK48" s="23"/>
      <c r="AM48" s="23"/>
      <c r="AN48" s="23"/>
      <c r="AO48" s="73"/>
      <c r="AP48" s="23"/>
      <c r="AQ48" s="23"/>
      <c r="AR48" s="23"/>
      <c r="AT48" s="23"/>
      <c r="AU48" s="23"/>
      <c r="AV48" s="73"/>
      <c r="AW48" s="23"/>
      <c r="AX48" s="23"/>
      <c r="AY48" s="23"/>
      <c r="BA48" s="23"/>
      <c r="BB48" s="23"/>
      <c r="BC48" s="73"/>
      <c r="BD48" s="23"/>
      <c r="BE48" s="23"/>
      <c r="BF48" s="23"/>
      <c r="BH48" s="23"/>
      <c r="BI48" s="23"/>
      <c r="BJ48" s="73"/>
      <c r="BK48" s="23"/>
      <c r="BL48" s="23"/>
      <c r="BM48" s="23"/>
      <c r="BO48" s="23"/>
      <c r="BP48" s="23"/>
      <c r="BQ48" s="73"/>
      <c r="BR48" s="23"/>
      <c r="BS48" s="23"/>
      <c r="BT48" s="23"/>
      <c r="BV48" s="23"/>
      <c r="BW48" s="23"/>
      <c r="BX48" s="73"/>
      <c r="BY48" s="23"/>
      <c r="BZ48" s="23"/>
      <c r="CA48" s="23"/>
      <c r="CC48" s="23"/>
      <c r="CD48" s="23"/>
      <c r="CE48" s="73"/>
      <c r="CF48" s="23"/>
      <c r="CG48" s="23"/>
      <c r="CH48" s="23"/>
      <c r="CJ48" s="23"/>
      <c r="CK48" s="23"/>
      <c r="CL48" s="73"/>
      <c r="CM48" s="23"/>
      <c r="CN48" s="23"/>
      <c r="CO48" s="23"/>
      <c r="CQ48" s="23"/>
      <c r="CR48" s="23"/>
      <c r="CS48" s="73"/>
      <c r="CT48" s="23"/>
      <c r="CU48" s="23"/>
      <c r="CV48" s="23"/>
      <c r="CX48" s="23"/>
      <c r="CY48" s="23"/>
      <c r="CZ48" s="73"/>
      <c r="DA48" s="23"/>
      <c r="DB48" s="23"/>
      <c r="DC48" s="23"/>
      <c r="DE48" s="23"/>
      <c r="DF48" s="23"/>
      <c r="DG48" s="73"/>
      <c r="DH48" s="23"/>
      <c r="DI48" s="23"/>
      <c r="DJ48" s="23"/>
      <c r="DL48" s="23"/>
      <c r="DM48" s="23"/>
      <c r="DN48" s="73"/>
      <c r="DO48" s="23"/>
      <c r="DP48" s="23"/>
      <c r="DQ48" s="23"/>
      <c r="DS48" s="23"/>
      <c r="DT48" s="23"/>
      <c r="DU48" s="73"/>
      <c r="DV48" s="23"/>
      <c r="DW48" s="23"/>
      <c r="DX48" s="23"/>
      <c r="DZ48" s="23"/>
      <c r="EA48" s="23"/>
      <c r="EB48" s="73"/>
      <c r="EC48" s="23"/>
      <c r="ED48" s="23"/>
      <c r="EE48" s="23"/>
      <c r="EG48" s="23"/>
      <c r="EH48" s="23"/>
      <c r="EI48" s="73"/>
      <c r="EJ48" s="23"/>
      <c r="EK48" s="23"/>
      <c r="EL48" s="23"/>
      <c r="EN48" s="23"/>
      <c r="EO48" s="23"/>
      <c r="EP48" s="73"/>
      <c r="EQ48" s="23"/>
      <c r="ER48" s="23"/>
      <c r="ES48" s="23"/>
    </row>
    <row r="49" spans="2:155" x14ac:dyDescent="0.25">
      <c r="B49" s="74" t="s">
        <v>271</v>
      </c>
      <c r="D49" s="75">
        <v>100</v>
      </c>
      <c r="E49" s="75">
        <v>75</v>
      </c>
      <c r="F49" s="10">
        <v>50</v>
      </c>
      <c r="G49" s="75">
        <v>25</v>
      </c>
      <c r="H49" s="75">
        <v>0</v>
      </c>
      <c r="I49" s="75">
        <v>0</v>
      </c>
      <c r="K49" s="75">
        <v>100</v>
      </c>
      <c r="L49" s="75">
        <v>75</v>
      </c>
      <c r="M49" s="10">
        <v>50</v>
      </c>
      <c r="N49" s="75">
        <v>25</v>
      </c>
      <c r="O49" s="75">
        <v>0</v>
      </c>
      <c r="P49" s="75">
        <v>0</v>
      </c>
      <c r="R49" s="75">
        <v>100</v>
      </c>
      <c r="S49" s="75">
        <v>75</v>
      </c>
      <c r="T49" s="10">
        <v>50</v>
      </c>
      <c r="U49" s="75">
        <v>25</v>
      </c>
      <c r="V49" s="75">
        <v>0</v>
      </c>
      <c r="W49" s="75">
        <v>0</v>
      </c>
      <c r="Y49" s="75">
        <v>100</v>
      </c>
      <c r="Z49" s="75">
        <v>75</v>
      </c>
      <c r="AA49" s="10">
        <v>50</v>
      </c>
      <c r="AB49" s="75">
        <v>25</v>
      </c>
      <c r="AC49" s="75">
        <v>0</v>
      </c>
      <c r="AD49" s="75">
        <v>0</v>
      </c>
      <c r="AF49" s="75">
        <v>100</v>
      </c>
      <c r="AG49" s="75">
        <v>75</v>
      </c>
      <c r="AH49" s="10">
        <v>50</v>
      </c>
      <c r="AI49" s="75">
        <v>25</v>
      </c>
      <c r="AJ49" s="75">
        <v>0</v>
      </c>
      <c r="AK49" s="75">
        <v>0</v>
      </c>
      <c r="AM49" s="75">
        <v>100</v>
      </c>
      <c r="AN49" s="75">
        <v>75</v>
      </c>
      <c r="AO49" s="10">
        <v>50</v>
      </c>
      <c r="AP49" s="75">
        <v>25</v>
      </c>
      <c r="AQ49" s="75">
        <v>0</v>
      </c>
      <c r="AR49" s="75">
        <v>0</v>
      </c>
      <c r="AT49" s="75">
        <v>100</v>
      </c>
      <c r="AU49" s="75">
        <v>75</v>
      </c>
      <c r="AV49" s="10">
        <v>50</v>
      </c>
      <c r="AW49" s="75">
        <v>25</v>
      </c>
      <c r="AX49" s="75">
        <v>0</v>
      </c>
      <c r="AY49" s="75">
        <v>0</v>
      </c>
      <c r="BA49" s="75"/>
      <c r="BB49" s="75"/>
      <c r="BC49" s="10"/>
      <c r="BD49" s="75"/>
      <c r="BE49" s="75"/>
      <c r="BF49" s="75"/>
      <c r="BH49" s="75"/>
      <c r="BI49" s="75"/>
      <c r="BJ49" s="10"/>
      <c r="BK49" s="75"/>
      <c r="BL49" s="75"/>
      <c r="BM49" s="75"/>
      <c r="BO49" s="75"/>
      <c r="BP49" s="75"/>
      <c r="BQ49" s="10"/>
      <c r="BR49" s="75"/>
      <c r="BS49" s="75"/>
      <c r="BT49" s="75"/>
      <c r="BV49" s="75"/>
      <c r="BW49" s="75"/>
      <c r="BX49" s="10"/>
      <c r="BY49" s="75"/>
      <c r="BZ49" s="75"/>
      <c r="CA49" s="75"/>
      <c r="CC49" s="75"/>
      <c r="CD49" s="75"/>
      <c r="CE49" s="10"/>
      <c r="CF49" s="75"/>
      <c r="CG49" s="75"/>
      <c r="CH49" s="75"/>
      <c r="CJ49" s="75"/>
      <c r="CK49" s="75"/>
      <c r="CL49" s="10"/>
      <c r="CM49" s="75"/>
      <c r="CN49" s="75"/>
      <c r="CO49" s="75"/>
      <c r="CQ49" s="75"/>
      <c r="CR49" s="75"/>
      <c r="CS49" s="10"/>
      <c r="CT49" s="75"/>
      <c r="CU49" s="75"/>
      <c r="CV49" s="75"/>
      <c r="CX49" s="75"/>
      <c r="CY49" s="75"/>
      <c r="CZ49" s="10"/>
      <c r="DA49" s="75"/>
      <c r="DB49" s="75"/>
      <c r="DC49" s="75"/>
      <c r="DE49" s="75"/>
      <c r="DF49" s="75"/>
      <c r="DG49" s="10"/>
      <c r="DH49" s="75"/>
      <c r="DI49" s="75"/>
      <c r="DJ49" s="75"/>
      <c r="DL49" s="75"/>
      <c r="DM49" s="75"/>
      <c r="DN49" s="10"/>
      <c r="DO49" s="75"/>
      <c r="DP49" s="75"/>
      <c r="DQ49" s="75"/>
      <c r="DS49" s="75"/>
      <c r="DT49" s="75"/>
      <c r="DU49" s="10"/>
      <c r="DV49" s="75"/>
      <c r="DW49" s="75"/>
      <c r="DX49" s="75"/>
      <c r="DZ49" s="75"/>
      <c r="EA49" s="75"/>
      <c r="EB49" s="10"/>
      <c r="EC49" s="75"/>
      <c r="ED49" s="75"/>
      <c r="EE49" s="75"/>
      <c r="EG49" s="75"/>
      <c r="EH49" s="75"/>
      <c r="EI49" s="10"/>
      <c r="EJ49" s="75"/>
      <c r="EK49" s="75"/>
      <c r="EL49" s="75"/>
      <c r="EN49" s="75"/>
      <c r="EO49" s="75"/>
      <c r="EP49" s="10"/>
      <c r="EQ49" s="75"/>
      <c r="ER49" s="75"/>
      <c r="ES49" s="75"/>
      <c r="EU49" s="75"/>
      <c r="EV49" s="75"/>
      <c r="EW49" s="10"/>
      <c r="EX49" s="75"/>
      <c r="EY49" s="75"/>
    </row>
    <row r="50" spans="2:155" x14ac:dyDescent="0.25">
      <c r="B50" s="74" t="s">
        <v>272</v>
      </c>
      <c r="D50" s="25">
        <f>+H49</f>
        <v>0</v>
      </c>
      <c r="E50" s="25">
        <f>+G49</f>
        <v>25</v>
      </c>
      <c r="F50" s="25">
        <f>+F49</f>
        <v>50</v>
      </c>
      <c r="G50" s="25">
        <f>+E49</f>
        <v>75</v>
      </c>
      <c r="H50" s="25">
        <f>+D49</f>
        <v>100</v>
      </c>
      <c r="I50" s="25">
        <v>0</v>
      </c>
      <c r="K50" s="25">
        <f>+O49</f>
        <v>0</v>
      </c>
      <c r="L50" s="25">
        <f>+N49</f>
        <v>25</v>
      </c>
      <c r="M50" s="25">
        <f>+M49</f>
        <v>50</v>
      </c>
      <c r="N50" s="25">
        <f>+L49</f>
        <v>75</v>
      </c>
      <c r="O50" s="25">
        <f>+K49</f>
        <v>100</v>
      </c>
      <c r="P50" s="25">
        <v>0</v>
      </c>
      <c r="R50" s="25">
        <f>+V49</f>
        <v>0</v>
      </c>
      <c r="S50" s="25">
        <f>+U49</f>
        <v>25</v>
      </c>
      <c r="T50" s="25">
        <f>+T49</f>
        <v>50</v>
      </c>
      <c r="U50" s="25">
        <f>+S49</f>
        <v>75</v>
      </c>
      <c r="V50" s="25">
        <f>+R49</f>
        <v>100</v>
      </c>
      <c r="W50" s="25">
        <v>0</v>
      </c>
      <c r="Y50" s="25">
        <f>+AC49</f>
        <v>0</v>
      </c>
      <c r="Z50" s="25">
        <f>+AB49</f>
        <v>25</v>
      </c>
      <c r="AA50" s="25">
        <f>+AA49</f>
        <v>50</v>
      </c>
      <c r="AB50" s="25">
        <f>+Z49</f>
        <v>75</v>
      </c>
      <c r="AC50" s="25">
        <f>+Y49</f>
        <v>100</v>
      </c>
      <c r="AD50" s="25">
        <v>0</v>
      </c>
      <c r="AF50" s="25">
        <f>+AJ49</f>
        <v>0</v>
      </c>
      <c r="AG50" s="25">
        <f>+AI49</f>
        <v>25</v>
      </c>
      <c r="AH50" s="25">
        <f>+AH49</f>
        <v>50</v>
      </c>
      <c r="AI50" s="25">
        <f>+AG49</f>
        <v>75</v>
      </c>
      <c r="AJ50" s="25">
        <f>+AF49</f>
        <v>100</v>
      </c>
      <c r="AK50" s="25">
        <v>0</v>
      </c>
      <c r="AM50" s="25">
        <f>+AQ49</f>
        <v>0</v>
      </c>
      <c r="AN50" s="25">
        <f>+AP49</f>
        <v>25</v>
      </c>
      <c r="AO50" s="25">
        <f>+AO49</f>
        <v>50</v>
      </c>
      <c r="AP50" s="25">
        <f>+AN49</f>
        <v>75</v>
      </c>
      <c r="AQ50" s="25">
        <f>+AM49</f>
        <v>100</v>
      </c>
      <c r="AR50" s="25">
        <v>0</v>
      </c>
      <c r="AT50" s="25">
        <f>+AX49</f>
        <v>0</v>
      </c>
      <c r="AU50" s="25">
        <f>+AW49</f>
        <v>25</v>
      </c>
      <c r="AV50" s="25">
        <f>+AV49</f>
        <v>50</v>
      </c>
      <c r="AW50" s="25">
        <f>+AU49</f>
        <v>75</v>
      </c>
      <c r="AX50" s="25">
        <f>+AT49</f>
        <v>100</v>
      </c>
      <c r="AY50" s="25">
        <v>0</v>
      </c>
      <c r="BA50" s="25"/>
      <c r="BB50" s="25"/>
      <c r="BC50" s="25"/>
      <c r="BD50" s="25"/>
      <c r="BE50" s="25"/>
      <c r="BF50" s="25"/>
      <c r="BH50" s="25"/>
      <c r="BI50" s="25"/>
      <c r="BJ50" s="25"/>
      <c r="BK50" s="25"/>
      <c r="BL50" s="25"/>
      <c r="BM50" s="25"/>
      <c r="BO50" s="25"/>
      <c r="BP50" s="25"/>
      <c r="BQ50" s="25"/>
      <c r="BR50" s="25"/>
      <c r="BS50" s="25"/>
      <c r="BT50" s="25"/>
      <c r="BV50" s="25"/>
      <c r="BW50" s="25"/>
      <c r="BX50" s="25"/>
      <c r="BY50" s="25"/>
      <c r="BZ50" s="25"/>
      <c r="CA50" s="25"/>
      <c r="CC50" s="25"/>
      <c r="CD50" s="25"/>
      <c r="CE50" s="25"/>
      <c r="CF50" s="25"/>
      <c r="CG50" s="25"/>
      <c r="CH50" s="25"/>
      <c r="CJ50" s="25"/>
      <c r="CK50" s="25"/>
      <c r="CL50" s="25"/>
      <c r="CM50" s="25"/>
      <c r="CN50" s="25"/>
      <c r="CO50" s="25"/>
      <c r="CQ50" s="25"/>
      <c r="CR50" s="25"/>
      <c r="CS50" s="25"/>
      <c r="CT50" s="25"/>
      <c r="CU50" s="25"/>
      <c r="CV50" s="25"/>
      <c r="CX50" s="25"/>
      <c r="CY50" s="25"/>
      <c r="CZ50" s="25"/>
      <c r="DA50" s="25"/>
      <c r="DB50" s="25"/>
      <c r="DC50" s="25"/>
      <c r="DE50" s="25"/>
      <c r="DF50" s="25"/>
      <c r="DG50" s="25"/>
      <c r="DH50" s="25"/>
      <c r="DI50" s="25"/>
      <c r="DJ50" s="25"/>
      <c r="DL50" s="25"/>
      <c r="DM50" s="25"/>
      <c r="DN50" s="25"/>
      <c r="DO50" s="25"/>
      <c r="DP50" s="25"/>
      <c r="DQ50" s="25"/>
      <c r="DS50" s="25"/>
      <c r="DT50" s="25"/>
      <c r="DU50" s="25"/>
      <c r="DV50" s="25"/>
      <c r="DW50" s="25"/>
      <c r="DX50" s="25"/>
      <c r="DZ50" s="25"/>
      <c r="EA50" s="25"/>
      <c r="EB50" s="25"/>
      <c r="EC50" s="25"/>
      <c r="ED50" s="25"/>
      <c r="EE50" s="25"/>
      <c r="EG50" s="25"/>
      <c r="EH50" s="25"/>
      <c r="EI50" s="25"/>
      <c r="EJ50" s="25"/>
      <c r="EK50" s="25"/>
      <c r="EL50" s="25"/>
      <c r="EN50" s="25"/>
      <c r="EO50" s="25"/>
      <c r="EP50" s="25"/>
      <c r="EQ50" s="25"/>
      <c r="ER50" s="25"/>
      <c r="ES50" s="25"/>
      <c r="EU50" s="25"/>
      <c r="EV50" s="25"/>
      <c r="EW50" s="25"/>
      <c r="EX50" s="25"/>
      <c r="EY50" s="25"/>
    </row>
    <row r="51" spans="2:155" x14ac:dyDescent="0.25">
      <c r="B51" s="74" t="s">
        <v>273</v>
      </c>
      <c r="D51" s="25">
        <v>0</v>
      </c>
      <c r="E51" s="25">
        <v>25</v>
      </c>
      <c r="F51" s="25">
        <v>50</v>
      </c>
      <c r="G51" s="25">
        <v>75</v>
      </c>
      <c r="H51" s="25">
        <v>100</v>
      </c>
      <c r="I51" s="25">
        <v>0</v>
      </c>
      <c r="K51" s="25">
        <v>0</v>
      </c>
      <c r="L51" s="25">
        <v>25</v>
      </c>
      <c r="M51" s="25">
        <v>50</v>
      </c>
      <c r="N51" s="25">
        <v>75</v>
      </c>
      <c r="O51" s="25">
        <v>100</v>
      </c>
      <c r="P51" s="25">
        <v>0</v>
      </c>
      <c r="R51" s="25">
        <v>0</v>
      </c>
      <c r="S51" s="25">
        <v>25</v>
      </c>
      <c r="T51" s="25">
        <v>50</v>
      </c>
      <c r="U51" s="25">
        <v>75</v>
      </c>
      <c r="V51" s="25">
        <v>100</v>
      </c>
      <c r="W51" s="25">
        <v>0</v>
      </c>
      <c r="Y51" s="25">
        <v>0</v>
      </c>
      <c r="Z51" s="25">
        <v>25</v>
      </c>
      <c r="AA51" s="25">
        <v>50</v>
      </c>
      <c r="AB51" s="25">
        <v>75</v>
      </c>
      <c r="AC51" s="25">
        <v>100</v>
      </c>
      <c r="AD51" s="25">
        <v>0</v>
      </c>
      <c r="AF51" s="25">
        <v>0</v>
      </c>
      <c r="AG51" s="25">
        <v>25</v>
      </c>
      <c r="AH51" s="25">
        <v>50</v>
      </c>
      <c r="AI51" s="25">
        <v>75</v>
      </c>
      <c r="AJ51" s="25">
        <v>100</v>
      </c>
      <c r="AK51" s="25">
        <v>0</v>
      </c>
      <c r="AM51" s="25">
        <v>0</v>
      </c>
      <c r="AN51" s="25">
        <v>25</v>
      </c>
      <c r="AO51" s="25">
        <v>50</v>
      </c>
      <c r="AP51" s="25">
        <v>75</v>
      </c>
      <c r="AQ51" s="25">
        <v>100</v>
      </c>
      <c r="AR51" s="25">
        <v>0</v>
      </c>
      <c r="AT51" s="25">
        <v>0</v>
      </c>
      <c r="AU51" s="25">
        <v>25</v>
      </c>
      <c r="AV51" s="25">
        <v>50</v>
      </c>
      <c r="AW51" s="25">
        <v>75</v>
      </c>
      <c r="AX51" s="25">
        <v>100</v>
      </c>
      <c r="AY51" s="25">
        <v>0</v>
      </c>
      <c r="BA51" s="25"/>
      <c r="BB51" s="25"/>
      <c r="BC51" s="25"/>
      <c r="BD51" s="25"/>
      <c r="BE51" s="25"/>
      <c r="BF51" s="25"/>
      <c r="BH51" s="25"/>
      <c r="BI51" s="25"/>
      <c r="BJ51" s="25"/>
      <c r="BK51" s="25"/>
      <c r="BL51" s="25"/>
      <c r="BM51" s="25"/>
      <c r="BO51" s="25"/>
      <c r="BP51" s="25"/>
      <c r="BQ51" s="25"/>
      <c r="BR51" s="25"/>
      <c r="BS51" s="25"/>
      <c r="BT51" s="25"/>
      <c r="BV51" s="25"/>
      <c r="BW51" s="25"/>
      <c r="BX51" s="25"/>
      <c r="BY51" s="25"/>
      <c r="BZ51" s="25"/>
      <c r="CA51" s="25"/>
      <c r="CC51" s="25"/>
      <c r="CD51" s="25"/>
      <c r="CE51" s="25"/>
      <c r="CF51" s="25"/>
      <c r="CG51" s="25"/>
      <c r="CH51" s="25"/>
      <c r="CJ51" s="25"/>
      <c r="CK51" s="25"/>
      <c r="CL51" s="25"/>
      <c r="CM51" s="25"/>
      <c r="CN51" s="25"/>
      <c r="CO51" s="25"/>
      <c r="CQ51" s="25"/>
      <c r="CR51" s="25"/>
      <c r="CS51" s="25"/>
      <c r="CT51" s="25"/>
      <c r="CU51" s="25"/>
      <c r="CV51" s="25"/>
      <c r="CX51" s="25"/>
      <c r="CY51" s="25"/>
      <c r="CZ51" s="25"/>
      <c r="DA51" s="25"/>
      <c r="DB51" s="25"/>
      <c r="DC51" s="25"/>
      <c r="DE51" s="25"/>
      <c r="DF51" s="25"/>
      <c r="DG51" s="25"/>
      <c r="DH51" s="25"/>
      <c r="DI51" s="25"/>
      <c r="DJ51" s="25"/>
      <c r="DL51" s="25"/>
      <c r="DM51" s="25"/>
      <c r="DN51" s="25"/>
      <c r="DO51" s="25"/>
      <c r="DP51" s="25"/>
      <c r="DQ51" s="25"/>
      <c r="DS51" s="25"/>
      <c r="DT51" s="25"/>
      <c r="DU51" s="25"/>
      <c r="DV51" s="25"/>
      <c r="DW51" s="25"/>
      <c r="DX51" s="25"/>
      <c r="DZ51" s="25"/>
      <c r="EA51" s="25"/>
      <c r="EB51" s="25"/>
      <c r="EC51" s="25"/>
      <c r="ED51" s="25"/>
      <c r="EE51" s="25"/>
      <c r="EG51" s="25"/>
      <c r="EH51" s="25"/>
      <c r="EI51" s="25"/>
      <c r="EJ51" s="25"/>
      <c r="EK51" s="25"/>
      <c r="EL51" s="25"/>
      <c r="EN51" s="25"/>
      <c r="EO51" s="25"/>
      <c r="EP51" s="25"/>
      <c r="EQ51" s="25"/>
      <c r="ER51" s="25"/>
      <c r="ES51" s="25"/>
    </row>
    <row r="52" spans="2:155" x14ac:dyDescent="0.25">
      <c r="B52" s="16" t="s">
        <v>274</v>
      </c>
      <c r="D52" s="25">
        <v>0</v>
      </c>
      <c r="E52" s="25">
        <v>0</v>
      </c>
      <c r="F52" s="25">
        <v>50</v>
      </c>
      <c r="G52" s="25">
        <v>75</v>
      </c>
      <c r="H52" s="25">
        <v>100</v>
      </c>
      <c r="I52" s="25">
        <v>0</v>
      </c>
      <c r="K52" s="25">
        <v>0</v>
      </c>
      <c r="L52" s="25">
        <v>0</v>
      </c>
      <c r="M52" s="25">
        <v>50</v>
      </c>
      <c r="N52" s="25">
        <v>75</v>
      </c>
      <c r="O52" s="25">
        <v>100</v>
      </c>
      <c r="P52" s="25">
        <v>0</v>
      </c>
      <c r="R52" s="25">
        <v>0</v>
      </c>
      <c r="S52" s="25">
        <v>0</v>
      </c>
      <c r="T52" s="25">
        <v>50</v>
      </c>
      <c r="U52" s="25">
        <v>75</v>
      </c>
      <c r="V52" s="25">
        <v>100</v>
      </c>
      <c r="W52" s="25">
        <v>0</v>
      </c>
      <c r="Y52" s="25">
        <v>0</v>
      </c>
      <c r="Z52" s="25">
        <v>0</v>
      </c>
      <c r="AA52" s="25">
        <v>50</v>
      </c>
      <c r="AB52" s="25">
        <v>75</v>
      </c>
      <c r="AC52" s="25">
        <v>100</v>
      </c>
      <c r="AD52" s="25">
        <v>0</v>
      </c>
      <c r="AF52" s="25">
        <v>0</v>
      </c>
      <c r="AG52" s="25">
        <v>0</v>
      </c>
      <c r="AH52" s="25">
        <v>50</v>
      </c>
      <c r="AI52" s="25">
        <v>75</v>
      </c>
      <c r="AJ52" s="25">
        <v>100</v>
      </c>
      <c r="AK52" s="25">
        <v>0</v>
      </c>
      <c r="AM52" s="25">
        <v>0</v>
      </c>
      <c r="AN52" s="25">
        <v>0</v>
      </c>
      <c r="AO52" s="25">
        <v>50</v>
      </c>
      <c r="AP52" s="25">
        <v>75</v>
      </c>
      <c r="AQ52" s="25">
        <v>100</v>
      </c>
      <c r="AR52" s="25">
        <v>0</v>
      </c>
      <c r="AT52" s="25">
        <v>0</v>
      </c>
      <c r="AU52" s="25">
        <v>0</v>
      </c>
      <c r="AV52" s="25">
        <v>50</v>
      </c>
      <c r="AW52" s="25">
        <v>75</v>
      </c>
      <c r="AX52" s="25">
        <v>100</v>
      </c>
      <c r="AY52" s="25">
        <v>0</v>
      </c>
      <c r="BA52" s="25"/>
      <c r="BB52" s="25"/>
      <c r="BC52" s="25"/>
      <c r="BD52" s="25"/>
      <c r="BE52" s="25"/>
      <c r="BF52" s="25"/>
      <c r="BH52" s="25"/>
      <c r="BI52" s="25"/>
      <c r="BJ52" s="25"/>
      <c r="BK52" s="25"/>
      <c r="BL52" s="25"/>
      <c r="BM52" s="25"/>
      <c r="BO52" s="25"/>
      <c r="BP52" s="25"/>
      <c r="BQ52" s="25"/>
      <c r="BR52" s="25"/>
      <c r="BS52" s="25"/>
      <c r="BT52" s="25"/>
      <c r="BV52" s="25"/>
      <c r="BW52" s="25"/>
      <c r="BX52" s="25"/>
      <c r="BY52" s="25"/>
      <c r="BZ52" s="25"/>
      <c r="CA52" s="25"/>
      <c r="CC52" s="25"/>
      <c r="CD52" s="25"/>
      <c r="CE52" s="25"/>
      <c r="CF52" s="25"/>
      <c r="CG52" s="25"/>
      <c r="CH52" s="25"/>
      <c r="CJ52" s="25"/>
      <c r="CK52" s="25"/>
      <c r="CL52" s="25"/>
      <c r="CM52" s="25"/>
      <c r="CN52" s="25"/>
      <c r="CO52" s="25"/>
      <c r="CQ52" s="25"/>
      <c r="CR52" s="25"/>
      <c r="CS52" s="25"/>
      <c r="CT52" s="25"/>
      <c r="CU52" s="25"/>
      <c r="CV52" s="25"/>
      <c r="CX52" s="25"/>
      <c r="CY52" s="25"/>
      <c r="CZ52" s="25"/>
      <c r="DA52" s="25"/>
      <c r="DB52" s="25"/>
      <c r="DC52" s="25"/>
      <c r="DE52" s="25"/>
      <c r="DF52" s="25"/>
      <c r="DG52" s="25"/>
      <c r="DH52" s="25"/>
      <c r="DI52" s="25"/>
      <c r="DJ52" s="25"/>
      <c r="DL52" s="25"/>
      <c r="DM52" s="25"/>
      <c r="DN52" s="25"/>
      <c r="DO52" s="25"/>
      <c r="DP52" s="25"/>
      <c r="DQ52" s="25"/>
      <c r="DS52" s="25"/>
      <c r="DT52" s="25"/>
      <c r="DU52" s="25"/>
      <c r="DV52" s="25"/>
      <c r="DW52" s="25"/>
      <c r="DX52" s="25"/>
      <c r="DZ52" s="25"/>
      <c r="EA52" s="25"/>
      <c r="EB52" s="25"/>
      <c r="EC52" s="25"/>
      <c r="ED52" s="25"/>
      <c r="EE52" s="25"/>
      <c r="EG52" s="25"/>
      <c r="EH52" s="25"/>
      <c r="EI52" s="25"/>
      <c r="EJ52" s="25"/>
      <c r="EK52" s="25"/>
      <c r="EL52" s="25"/>
      <c r="EN52" s="25"/>
      <c r="EO52" s="25"/>
      <c r="EP52" s="25"/>
      <c r="EQ52" s="25"/>
      <c r="ER52" s="25"/>
      <c r="ES52" s="25"/>
    </row>
    <row r="53" spans="2:155" x14ac:dyDescent="0.25">
      <c r="B53" s="16" t="s">
        <v>275</v>
      </c>
      <c r="D53" s="25">
        <v>0</v>
      </c>
      <c r="E53" s="76">
        <v>0</v>
      </c>
      <c r="F53" s="25">
        <v>50</v>
      </c>
      <c r="G53" s="25">
        <v>75</v>
      </c>
      <c r="H53" s="25">
        <v>100</v>
      </c>
      <c r="I53" s="25">
        <v>0</v>
      </c>
      <c r="K53" s="25">
        <v>0</v>
      </c>
      <c r="L53" s="76">
        <v>0</v>
      </c>
      <c r="M53" s="25">
        <v>50</v>
      </c>
      <c r="N53" s="25">
        <v>75</v>
      </c>
      <c r="O53" s="25">
        <v>100</v>
      </c>
      <c r="P53" s="25">
        <v>0</v>
      </c>
      <c r="R53" s="25">
        <v>0</v>
      </c>
      <c r="S53" s="76">
        <v>0</v>
      </c>
      <c r="T53" s="25">
        <v>50</v>
      </c>
      <c r="U53" s="25">
        <v>75</v>
      </c>
      <c r="V53" s="25">
        <v>100</v>
      </c>
      <c r="W53" s="25">
        <v>0</v>
      </c>
      <c r="Y53" s="25">
        <v>0</v>
      </c>
      <c r="Z53" s="76">
        <v>0</v>
      </c>
      <c r="AA53" s="25">
        <v>50</v>
      </c>
      <c r="AB53" s="25">
        <v>75</v>
      </c>
      <c r="AC53" s="25">
        <v>100</v>
      </c>
      <c r="AD53" s="25">
        <v>0</v>
      </c>
      <c r="AF53" s="25">
        <v>0</v>
      </c>
      <c r="AG53" s="76">
        <v>0</v>
      </c>
      <c r="AH53" s="25">
        <v>50</v>
      </c>
      <c r="AI53" s="25">
        <v>75</v>
      </c>
      <c r="AJ53" s="25">
        <v>100</v>
      </c>
      <c r="AK53" s="25">
        <v>0</v>
      </c>
      <c r="AL53" s="28"/>
      <c r="AM53" s="25">
        <v>0</v>
      </c>
      <c r="AN53" s="76">
        <v>0</v>
      </c>
      <c r="AO53" s="25">
        <v>50</v>
      </c>
      <c r="AP53" s="25">
        <v>75</v>
      </c>
      <c r="AQ53" s="25">
        <v>100</v>
      </c>
      <c r="AR53" s="25">
        <v>0</v>
      </c>
      <c r="AS53" s="28"/>
      <c r="AT53" s="25">
        <v>0</v>
      </c>
      <c r="AU53" s="76">
        <v>0</v>
      </c>
      <c r="AV53" s="25">
        <v>50</v>
      </c>
      <c r="AW53" s="25">
        <v>75</v>
      </c>
      <c r="AX53" s="25">
        <v>100</v>
      </c>
      <c r="AY53" s="25">
        <v>0</v>
      </c>
      <c r="AZ53" s="28"/>
      <c r="BA53" s="25"/>
      <c r="BB53" s="76"/>
      <c r="BC53" s="25"/>
      <c r="BD53" s="25"/>
      <c r="BE53" s="25"/>
      <c r="BF53" s="25"/>
      <c r="BH53" s="25"/>
      <c r="BI53" s="76"/>
      <c r="BJ53" s="25"/>
      <c r="BK53" s="25"/>
      <c r="BL53" s="25"/>
      <c r="BM53" s="25"/>
      <c r="BO53" s="25"/>
      <c r="BP53" s="76"/>
      <c r="BQ53" s="25"/>
      <c r="BR53" s="25"/>
      <c r="BS53" s="25"/>
      <c r="BT53" s="25"/>
      <c r="BV53" s="25"/>
      <c r="BW53" s="76"/>
      <c r="BX53" s="25"/>
      <c r="BY53" s="25"/>
      <c r="BZ53" s="25"/>
      <c r="CA53" s="25"/>
      <c r="CB53" s="28"/>
      <c r="CC53" s="25"/>
      <c r="CD53" s="76"/>
      <c r="CE53" s="25"/>
      <c r="CF53" s="25"/>
      <c r="CG53" s="25"/>
      <c r="CH53" s="25"/>
      <c r="CJ53" s="25"/>
      <c r="CK53" s="76"/>
      <c r="CL53" s="25"/>
      <c r="CM53" s="25"/>
      <c r="CN53" s="25"/>
      <c r="CO53" s="25"/>
      <c r="CQ53" s="25"/>
      <c r="CR53" s="76"/>
      <c r="CS53" s="25"/>
      <c r="CT53" s="25"/>
      <c r="CU53" s="25"/>
      <c r="CV53" s="25"/>
      <c r="CX53" s="25"/>
      <c r="CY53" s="76"/>
      <c r="CZ53" s="25"/>
      <c r="DA53" s="25"/>
      <c r="DB53" s="25"/>
      <c r="DC53" s="25"/>
      <c r="DD53" s="28"/>
      <c r="DE53" s="25"/>
      <c r="DF53" s="76"/>
      <c r="DG53" s="25"/>
      <c r="DH53" s="25"/>
      <c r="DI53" s="25"/>
      <c r="DJ53" s="25"/>
      <c r="DL53" s="25"/>
      <c r="DM53" s="76"/>
      <c r="DN53" s="25"/>
      <c r="DO53" s="25"/>
      <c r="DP53" s="25"/>
      <c r="DQ53" s="25"/>
      <c r="DS53" s="25"/>
      <c r="DT53" s="76"/>
      <c r="DU53" s="25"/>
      <c r="DV53" s="25"/>
      <c r="DW53" s="25"/>
      <c r="DX53" s="25"/>
      <c r="DZ53" s="25"/>
      <c r="EA53" s="76"/>
      <c r="EB53" s="25"/>
      <c r="EC53" s="25"/>
      <c r="ED53" s="25"/>
      <c r="EE53" s="25"/>
      <c r="EF53" s="28"/>
      <c r="EG53" s="25"/>
      <c r="EH53" s="76"/>
      <c r="EI53" s="25"/>
      <c r="EJ53" s="25"/>
      <c r="EK53" s="25"/>
      <c r="EL53" s="25"/>
      <c r="EN53" s="25"/>
      <c r="EO53" s="76"/>
      <c r="EP53" s="25"/>
      <c r="EQ53" s="25"/>
      <c r="ER53" s="25"/>
      <c r="ES53" s="25"/>
    </row>
    <row r="54" spans="2:155" x14ac:dyDescent="0.25">
      <c r="E54" s="15"/>
    </row>
    <row r="55" spans="2:155" ht="15.6" x14ac:dyDescent="0.3">
      <c r="B55" s="77"/>
      <c r="E55" s="15"/>
    </row>
    <row r="56" spans="2:155" ht="33.6" customHeight="1" x14ac:dyDescent="0.3">
      <c r="B56" s="78"/>
      <c r="C56" s="908" t="s">
        <v>276</v>
      </c>
      <c r="D56" s="908"/>
      <c r="E56" s="908"/>
      <c r="F56" s="908"/>
      <c r="G56" s="908"/>
      <c r="H56" s="908"/>
    </row>
    <row r="57" spans="2:155" x14ac:dyDescent="0.25">
      <c r="B57" t="s">
        <v>200</v>
      </c>
      <c r="D57" s="25">
        <v>0</v>
      </c>
      <c r="E57" s="76">
        <v>20</v>
      </c>
      <c r="F57" s="25">
        <v>40</v>
      </c>
      <c r="G57" s="76">
        <v>60</v>
      </c>
      <c r="H57" s="25">
        <v>80</v>
      </c>
    </row>
    <row r="58" spans="2:155" x14ac:dyDescent="0.25">
      <c r="B58" t="s">
        <v>199</v>
      </c>
      <c r="D58" s="79" t="s">
        <v>242</v>
      </c>
      <c r="E58" s="80" t="s">
        <v>277</v>
      </c>
      <c r="F58" s="12" t="s">
        <v>248</v>
      </c>
      <c r="G58" s="80" t="s">
        <v>278</v>
      </c>
      <c r="H58" s="80" t="s">
        <v>258</v>
      </c>
    </row>
    <row r="59" spans="2:155" x14ac:dyDescent="0.25">
      <c r="E59" s="15"/>
    </row>
    <row r="60" spans="2:155" x14ac:dyDescent="0.25">
      <c r="D60" s="50" t="s">
        <v>262</v>
      </c>
      <c r="E60" s="11" t="s">
        <v>202</v>
      </c>
      <c r="F60" s="51"/>
      <c r="G60" s="55"/>
      <c r="H60" s="81"/>
    </row>
    <row r="61" spans="2:155" ht="15.6" x14ac:dyDescent="0.3">
      <c r="B61" s="54" t="s">
        <v>157</v>
      </c>
      <c r="C61" s="52" t="s">
        <v>263</v>
      </c>
      <c r="D61" s="50" t="s">
        <v>264</v>
      </c>
      <c r="E61" s="50" t="s">
        <v>216</v>
      </c>
      <c r="F61" s="53" t="s">
        <v>279</v>
      </c>
      <c r="G61" s="51" t="s">
        <v>219</v>
      </c>
      <c r="H61" s="52" t="s">
        <v>265</v>
      </c>
      <c r="I61" s="29" t="s">
        <v>280</v>
      </c>
      <c r="J61" s="29"/>
      <c r="K61" s="11"/>
      <c r="L61" s="11"/>
      <c r="N61" s="57"/>
    </row>
    <row r="62" spans="2:155" x14ac:dyDescent="0.25">
      <c r="B62" s="58" t="s">
        <v>267</v>
      </c>
      <c r="C62" s="59"/>
      <c r="D62" s="82"/>
      <c r="E62" s="71"/>
      <c r="F62" s="71"/>
      <c r="G62" s="27"/>
      <c r="H62" s="71"/>
      <c r="I62" s="71"/>
      <c r="J62" s="80"/>
      <c r="K62" s="11"/>
      <c r="L62" s="11"/>
      <c r="N62" s="83"/>
    </row>
    <row r="63" spans="2:155" x14ac:dyDescent="0.25">
      <c r="B63" s="11" t="s">
        <v>160</v>
      </c>
      <c r="C63" s="60">
        <v>2</v>
      </c>
      <c r="D63" s="175">
        <v>-1000000000</v>
      </c>
      <c r="E63" s="176">
        <v>-2.6670319928311481E-2</v>
      </c>
      <c r="F63" s="176">
        <v>-4.6683755395354742E-3</v>
      </c>
      <c r="G63" s="176">
        <v>6.2584637135846277E-3</v>
      </c>
      <c r="H63" s="176">
        <v>3.3672540075749713E-2</v>
      </c>
      <c r="I63" s="85" t="s">
        <v>266</v>
      </c>
      <c r="J63" s="86"/>
      <c r="K63" s="11"/>
      <c r="L63" s="11"/>
      <c r="N63" s="87"/>
    </row>
    <row r="64" spans="2:155" x14ac:dyDescent="0.25">
      <c r="B64" s="11" t="s">
        <v>205</v>
      </c>
      <c r="C64" s="60">
        <v>2</v>
      </c>
      <c r="D64" s="175">
        <v>-1000000000</v>
      </c>
      <c r="E64" s="176">
        <v>-2.2859657273218446E-2</v>
      </c>
      <c r="F64" s="176">
        <v>-5.3214693927826351E-4</v>
      </c>
      <c r="G64" s="176">
        <v>1.1025014473242004E-2</v>
      </c>
      <c r="H64" s="176">
        <v>3.2149142482058218E-2</v>
      </c>
      <c r="I64" s="85" t="s">
        <v>266</v>
      </c>
      <c r="J64" s="86"/>
      <c r="K64" s="11"/>
      <c r="L64" s="11"/>
      <c r="N64" s="88"/>
    </row>
    <row r="65" spans="2:14" x14ac:dyDescent="0.25">
      <c r="B65" s="11" t="s">
        <v>206</v>
      </c>
      <c r="C65" s="60">
        <v>2</v>
      </c>
      <c r="D65" s="175">
        <v>-1000000000</v>
      </c>
      <c r="E65" s="176">
        <v>-0.43829470578151214</v>
      </c>
      <c r="F65" s="176">
        <v>-0.12066203085513036</v>
      </c>
      <c r="G65" s="176">
        <v>2.0723271371813724E-2</v>
      </c>
      <c r="H65" s="176">
        <v>0.27985639891981207</v>
      </c>
      <c r="I65" s="85" t="s">
        <v>266</v>
      </c>
      <c r="J65" s="86"/>
      <c r="K65" s="11"/>
      <c r="L65" s="11"/>
      <c r="N65" s="87"/>
    </row>
    <row r="66" spans="2:14" x14ac:dyDescent="0.25">
      <c r="B66" s="11" t="s">
        <v>207</v>
      </c>
      <c r="C66" s="60">
        <v>2</v>
      </c>
      <c r="D66" s="175">
        <v>-1000000000</v>
      </c>
      <c r="E66" s="176">
        <v>-1.6745184980291043E-2</v>
      </c>
      <c r="F66" s="176">
        <v>1.0914067860937363E-2</v>
      </c>
      <c r="G66" s="176">
        <v>4.8757300529255324E-2</v>
      </c>
      <c r="H66" s="176">
        <v>0.14811621899909677</v>
      </c>
      <c r="I66" s="85" t="s">
        <v>266</v>
      </c>
      <c r="J66" s="86"/>
      <c r="K66" s="11"/>
      <c r="L66" s="11"/>
      <c r="N66" s="87"/>
    </row>
    <row r="67" spans="2:14" x14ac:dyDescent="0.25">
      <c r="B67" s="58" t="s">
        <v>208</v>
      </c>
      <c r="C67" s="63"/>
      <c r="D67" s="177"/>
      <c r="E67" s="178"/>
      <c r="F67" s="179"/>
      <c r="G67" s="180"/>
      <c r="H67" s="178"/>
      <c r="I67" s="65"/>
      <c r="J67" s="22"/>
      <c r="K67" s="11"/>
      <c r="L67" s="11"/>
      <c r="N67" s="89"/>
    </row>
    <row r="68" spans="2:14" x14ac:dyDescent="0.25">
      <c r="B68" s="11" t="s">
        <v>151</v>
      </c>
      <c r="C68" s="60">
        <v>2</v>
      </c>
      <c r="D68" s="175">
        <v>-1000000000</v>
      </c>
      <c r="E68" s="181">
        <v>-0.22538334232582136</v>
      </c>
      <c r="F68" s="182">
        <v>-9.3057646932919724E-5</v>
      </c>
      <c r="G68" s="183">
        <v>0.11304658847256678</v>
      </c>
      <c r="H68" s="181">
        <v>0.36281682432903239</v>
      </c>
      <c r="I68" s="26" t="s">
        <v>266</v>
      </c>
      <c r="J68" s="80"/>
      <c r="K68" s="11"/>
      <c r="L68" s="11"/>
      <c r="N68" s="80"/>
    </row>
    <row r="69" spans="2:14" x14ac:dyDescent="0.25">
      <c r="B69" s="11" t="s">
        <v>152</v>
      </c>
      <c r="C69" s="60">
        <v>2</v>
      </c>
      <c r="D69" s="175">
        <v>-1000000000</v>
      </c>
      <c r="E69" s="181">
        <v>-0.17795114220054464</v>
      </c>
      <c r="F69" s="182">
        <v>-2.1842540904709315E-2</v>
      </c>
      <c r="G69" s="183">
        <v>3.8332251385323125E-2</v>
      </c>
      <c r="H69" s="181">
        <v>0.21779768426402724</v>
      </c>
      <c r="I69" s="26" t="s">
        <v>266</v>
      </c>
      <c r="J69" s="80"/>
      <c r="K69" s="11"/>
      <c r="L69" s="11"/>
      <c r="N69" s="80"/>
    </row>
    <row r="70" spans="2:14" x14ac:dyDescent="0.25">
      <c r="B70" s="11" t="s">
        <v>170</v>
      </c>
      <c r="C70" s="60">
        <v>1</v>
      </c>
      <c r="D70" s="175">
        <v>-1000000000</v>
      </c>
      <c r="E70" s="181">
        <v>-16.642318281874196</v>
      </c>
      <c r="F70" s="182">
        <v>-3.830824834017875</v>
      </c>
      <c r="G70" s="183">
        <v>0.1005864326814965</v>
      </c>
      <c r="H70" s="181">
        <v>11.746704176408457</v>
      </c>
      <c r="I70" s="26" t="s">
        <v>266</v>
      </c>
      <c r="J70" s="80"/>
      <c r="K70" s="11"/>
      <c r="L70" s="11"/>
      <c r="N70" s="80"/>
    </row>
    <row r="71" spans="2:14" x14ac:dyDescent="0.25">
      <c r="B71" s="11" t="s">
        <v>172</v>
      </c>
      <c r="C71" s="60">
        <v>3</v>
      </c>
      <c r="D71" s="175">
        <v>-1000000000</v>
      </c>
      <c r="E71" s="181">
        <v>-14.562403112923676</v>
      </c>
      <c r="F71" s="182">
        <v>-2.0054945054945268</v>
      </c>
      <c r="G71" s="183">
        <v>0</v>
      </c>
      <c r="H71" s="181">
        <v>15.091001392463795</v>
      </c>
      <c r="I71" s="26" t="s">
        <v>266</v>
      </c>
      <c r="J71" s="80"/>
      <c r="K71" s="11"/>
      <c r="L71" s="11"/>
      <c r="N71" s="90"/>
    </row>
    <row r="72" spans="2:14" x14ac:dyDescent="0.25">
      <c r="B72" s="11" t="s">
        <v>174</v>
      </c>
      <c r="C72" s="60">
        <v>4</v>
      </c>
      <c r="D72" s="175">
        <v>-1000000000</v>
      </c>
      <c r="E72" s="181">
        <v>-9.3000018493908101</v>
      </c>
      <c r="F72" s="182">
        <v>-0.77402501998963835</v>
      </c>
      <c r="G72" s="183">
        <v>0</v>
      </c>
      <c r="H72" s="181">
        <v>9.3325351063623998</v>
      </c>
      <c r="I72" s="26" t="s">
        <v>266</v>
      </c>
      <c r="J72" s="80"/>
      <c r="K72" s="11"/>
      <c r="L72" s="11"/>
      <c r="N72" s="80"/>
    </row>
    <row r="73" spans="2:14" x14ac:dyDescent="0.25">
      <c r="B73" s="58" t="s">
        <v>268</v>
      </c>
      <c r="C73" s="63"/>
      <c r="D73" s="178"/>
      <c r="E73" s="178"/>
      <c r="F73" s="178"/>
      <c r="G73" s="180"/>
      <c r="H73" s="178"/>
      <c r="I73" s="65"/>
      <c r="J73" s="22"/>
      <c r="K73" s="11"/>
      <c r="L73" s="11"/>
      <c r="N73" s="22"/>
    </row>
    <row r="74" spans="2:14" x14ac:dyDescent="0.25">
      <c r="B74" s="11" t="s">
        <v>176</v>
      </c>
      <c r="C74" s="60">
        <v>1</v>
      </c>
      <c r="D74" s="175">
        <v>-1000000000</v>
      </c>
      <c r="E74" s="176">
        <v>-6.0956833683451471E-2</v>
      </c>
      <c r="F74" s="176">
        <v>0</v>
      </c>
      <c r="G74" s="184">
        <v>9.0939033528061236E-2</v>
      </c>
      <c r="H74" s="176">
        <v>1.1296262661777174</v>
      </c>
      <c r="I74" s="85" t="s">
        <v>266</v>
      </c>
      <c r="J74" s="86"/>
      <c r="K74" s="11"/>
      <c r="L74" s="11"/>
      <c r="N74" s="91"/>
    </row>
    <row r="75" spans="2:14" x14ac:dyDescent="0.25">
      <c r="B75" s="11" t="s">
        <v>153</v>
      </c>
      <c r="C75" s="60">
        <v>1</v>
      </c>
      <c r="D75" s="175">
        <v>-1000000000</v>
      </c>
      <c r="E75" s="176">
        <v>-0.12219651930631552</v>
      </c>
      <c r="F75" s="176">
        <v>4.0703007115730896E-2</v>
      </c>
      <c r="G75" s="184">
        <v>0.51848491779677564</v>
      </c>
      <c r="H75" s="176">
        <v>3.171855229136642</v>
      </c>
      <c r="I75" s="85" t="s">
        <v>266</v>
      </c>
      <c r="J75" s="86"/>
      <c r="K75" s="11"/>
      <c r="L75" s="11"/>
      <c r="N75" s="92"/>
    </row>
    <row r="76" spans="2:14" x14ac:dyDescent="0.25">
      <c r="B76" s="58" t="s">
        <v>269</v>
      </c>
      <c r="C76" s="63"/>
      <c r="D76" s="185"/>
      <c r="E76" s="186"/>
      <c r="F76" s="186"/>
      <c r="G76" s="187"/>
      <c r="H76" s="188"/>
      <c r="I76" s="71"/>
      <c r="J76" s="80"/>
      <c r="K76" s="11"/>
      <c r="L76" s="11"/>
      <c r="N76" s="72"/>
    </row>
    <row r="77" spans="2:14" x14ac:dyDescent="0.25">
      <c r="B77" s="11" t="s">
        <v>178</v>
      </c>
      <c r="C77" s="60">
        <v>2</v>
      </c>
      <c r="D77" s="175">
        <v>-1000000000</v>
      </c>
      <c r="E77" s="189">
        <v>-1.1100846407927332</v>
      </c>
      <c r="F77" s="189">
        <v>7.6566311605855031E-2</v>
      </c>
      <c r="G77" s="183">
        <v>0.94777632980769422</v>
      </c>
      <c r="H77" s="181">
        <v>7.5797317436661746</v>
      </c>
      <c r="I77" s="26" t="s">
        <v>266</v>
      </c>
      <c r="J77" s="80"/>
      <c r="K77" s="11"/>
      <c r="L77" s="11"/>
      <c r="N77" s="91"/>
    </row>
    <row r="78" spans="2:14" x14ac:dyDescent="0.25">
      <c r="B78" s="11" t="s">
        <v>209</v>
      </c>
      <c r="C78" s="60">
        <v>1</v>
      </c>
      <c r="D78" s="175">
        <v>-1000000000</v>
      </c>
      <c r="E78" s="181">
        <v>-1.1462282920728764</v>
      </c>
      <c r="F78" s="181">
        <v>-0.23155707677531279</v>
      </c>
      <c r="G78" s="183">
        <v>0</v>
      </c>
      <c r="H78" s="181">
        <v>0.33906838597508049</v>
      </c>
      <c r="I78" s="26" t="s">
        <v>266</v>
      </c>
      <c r="J78" s="80"/>
      <c r="K78" s="11"/>
      <c r="L78" s="11"/>
      <c r="N78" s="80"/>
    </row>
    <row r="79" spans="2:14" x14ac:dyDescent="0.25">
      <c r="B79" s="11" t="s">
        <v>270</v>
      </c>
      <c r="C79" s="60">
        <v>2</v>
      </c>
      <c r="D79" s="175">
        <v>-1000000000</v>
      </c>
      <c r="E79" s="181">
        <v>-3.6446024096385563</v>
      </c>
      <c r="F79" s="181">
        <v>-0.37863959655847623</v>
      </c>
      <c r="G79" s="183">
        <v>0.91612477828450001</v>
      </c>
      <c r="H79" s="181">
        <v>4.925656218667168</v>
      </c>
      <c r="I79" s="26" t="s">
        <v>266</v>
      </c>
      <c r="J79" s="80"/>
      <c r="K79" s="11"/>
      <c r="L79" s="11"/>
      <c r="N79" s="80"/>
    </row>
    <row r="80" spans="2:14" ht="12.6" customHeight="1" x14ac:dyDescent="0.25">
      <c r="B80" s="58" t="s">
        <v>201</v>
      </c>
      <c r="C80" s="63"/>
      <c r="D80" s="23"/>
      <c r="E80" s="23"/>
      <c r="F80" s="23"/>
      <c r="G80" s="73"/>
      <c r="H80" s="21"/>
      <c r="I80" s="21"/>
      <c r="J80" s="56"/>
      <c r="K80" s="11"/>
      <c r="L80" s="11"/>
      <c r="N80" s="80"/>
    </row>
    <row r="81" spans="2:18" x14ac:dyDescent="0.25">
      <c r="B81" s="74" t="s">
        <v>271</v>
      </c>
      <c r="C81" s="11"/>
      <c r="D81" s="26">
        <v>100</v>
      </c>
      <c r="E81" s="26">
        <v>75</v>
      </c>
      <c r="F81" s="26">
        <v>50</v>
      </c>
      <c r="G81" s="19">
        <v>25</v>
      </c>
      <c r="H81" s="26">
        <v>0</v>
      </c>
      <c r="I81" s="80">
        <v>50</v>
      </c>
      <c r="J81" s="80"/>
      <c r="K81" s="11"/>
      <c r="L81" s="11"/>
      <c r="N81" s="80"/>
    </row>
    <row r="82" spans="2:18" x14ac:dyDescent="0.25">
      <c r="B82" s="74" t="s">
        <v>272</v>
      </c>
      <c r="C82" s="11"/>
      <c r="D82" s="93">
        <f>+H81</f>
        <v>0</v>
      </c>
      <c r="E82" s="93">
        <f>+G81</f>
        <v>25</v>
      </c>
      <c r="F82" s="26">
        <v>50</v>
      </c>
      <c r="G82" s="93">
        <f>+E81</f>
        <v>75</v>
      </c>
      <c r="H82" s="93">
        <f>+D81</f>
        <v>100</v>
      </c>
      <c r="I82" s="93">
        <v>50</v>
      </c>
      <c r="J82" s="94"/>
      <c r="K82" s="11"/>
      <c r="L82" s="11"/>
      <c r="N82" s="94"/>
    </row>
    <row r="83" spans="2:18" x14ac:dyDescent="0.25">
      <c r="B83" s="74" t="s">
        <v>273</v>
      </c>
      <c r="C83" s="11"/>
      <c r="D83" s="93">
        <v>75</v>
      </c>
      <c r="E83" s="47">
        <v>100</v>
      </c>
      <c r="F83" s="80">
        <v>50</v>
      </c>
      <c r="G83" s="94">
        <v>25</v>
      </c>
      <c r="H83" s="94">
        <v>0</v>
      </c>
      <c r="I83" s="94">
        <v>50</v>
      </c>
      <c r="J83" s="94"/>
      <c r="K83" s="11"/>
      <c r="L83" s="11"/>
      <c r="N83" s="28"/>
    </row>
    <row r="84" spans="2:18" x14ac:dyDescent="0.25">
      <c r="B84" s="16" t="s">
        <v>274</v>
      </c>
      <c r="C84" s="11"/>
      <c r="D84" s="94">
        <v>0</v>
      </c>
      <c r="E84" s="47">
        <v>25</v>
      </c>
      <c r="F84" s="80">
        <v>50</v>
      </c>
      <c r="G84" s="94">
        <v>100</v>
      </c>
      <c r="H84" s="94">
        <v>75</v>
      </c>
      <c r="I84" s="94">
        <v>50</v>
      </c>
      <c r="J84" s="94"/>
      <c r="K84" s="11"/>
      <c r="L84" s="11"/>
    </row>
    <row r="85" spans="2:18" x14ac:dyDescent="0.25">
      <c r="B85" s="16" t="s">
        <v>275</v>
      </c>
      <c r="C85" s="11"/>
      <c r="D85" s="11"/>
      <c r="E85" s="37"/>
      <c r="F85" s="11"/>
      <c r="G85" s="11"/>
      <c r="H85" s="11"/>
      <c r="I85" s="11"/>
      <c r="J85" s="14"/>
      <c r="K85" s="11"/>
      <c r="L85" s="11"/>
    </row>
    <row r="86" spans="2:18" x14ac:dyDescent="0.25">
      <c r="C86" s="11"/>
      <c r="D86" s="11"/>
      <c r="E86" s="37"/>
      <c r="F86" s="11"/>
      <c r="G86" s="11"/>
      <c r="H86" s="11"/>
      <c r="I86" s="11"/>
      <c r="J86" s="14"/>
      <c r="K86" s="11"/>
      <c r="L86" s="11"/>
    </row>
    <row r="87" spans="2:18" x14ac:dyDescent="0.25">
      <c r="C87" s="11"/>
      <c r="D87" s="11"/>
      <c r="E87" s="37"/>
      <c r="F87" s="11"/>
      <c r="G87" s="11"/>
      <c r="H87" s="11"/>
      <c r="I87" s="11"/>
      <c r="J87" s="14"/>
      <c r="K87" s="11"/>
      <c r="L87" s="11"/>
    </row>
    <row r="88" spans="2:18" ht="31.95" customHeight="1" x14ac:dyDescent="0.3">
      <c r="B88" s="78"/>
      <c r="C88" s="908" t="s">
        <v>281</v>
      </c>
      <c r="D88" s="908"/>
      <c r="E88" s="908"/>
      <c r="F88" s="908"/>
      <c r="G88" s="908"/>
      <c r="H88" s="908"/>
      <c r="I88" s="11"/>
      <c r="J88" s="14"/>
      <c r="K88" s="11"/>
      <c r="L88" s="11"/>
    </row>
    <row r="89" spans="2:18" x14ac:dyDescent="0.25">
      <c r="B89" t="s">
        <v>200</v>
      </c>
      <c r="D89" s="25">
        <v>0</v>
      </c>
      <c r="E89" s="76">
        <v>35</v>
      </c>
      <c r="F89" s="25">
        <v>65</v>
      </c>
      <c r="G89" s="25"/>
      <c r="H89" s="25"/>
      <c r="I89" s="11"/>
      <c r="J89" s="14"/>
      <c r="K89" s="11"/>
      <c r="L89" s="11"/>
    </row>
    <row r="90" spans="2:18" x14ac:dyDescent="0.25">
      <c r="B90" t="s">
        <v>199</v>
      </c>
      <c r="D90" s="79" t="s">
        <v>282</v>
      </c>
      <c r="E90" s="80" t="s">
        <v>279</v>
      </c>
      <c r="F90" s="12" t="s">
        <v>283</v>
      </c>
      <c r="G90" s="80"/>
      <c r="H90" s="80"/>
      <c r="I90" s="11"/>
      <c r="J90" s="14"/>
      <c r="K90" s="14"/>
      <c r="L90" s="14"/>
      <c r="M90" s="28"/>
      <c r="N90" s="28"/>
      <c r="O90" s="28"/>
      <c r="P90" s="28"/>
      <c r="Q90" s="28"/>
      <c r="R90" s="28"/>
    </row>
    <row r="91" spans="2:18" x14ac:dyDescent="0.25">
      <c r="C91" s="11"/>
      <c r="D91" s="11"/>
      <c r="E91" s="37"/>
      <c r="F91" s="11"/>
      <c r="G91" s="11"/>
      <c r="H91" s="11"/>
      <c r="I91" s="11"/>
      <c r="J91" s="14"/>
      <c r="K91" s="14"/>
      <c r="L91" s="14"/>
      <c r="M91" s="28"/>
      <c r="N91" s="28"/>
      <c r="O91" s="28"/>
      <c r="P91" s="28"/>
      <c r="Q91" s="28"/>
      <c r="R91" s="28"/>
    </row>
    <row r="92" spans="2:18" x14ac:dyDescent="0.25">
      <c r="C92" s="11"/>
      <c r="D92" s="11"/>
      <c r="E92" s="37"/>
      <c r="F92" s="11"/>
      <c r="G92" s="11"/>
      <c r="H92" s="11"/>
      <c r="I92" s="11"/>
      <c r="J92" s="14"/>
      <c r="K92" s="95"/>
      <c r="L92" s="95"/>
      <c r="M92" s="96"/>
      <c r="N92" s="96"/>
      <c r="O92" s="96"/>
      <c r="P92" s="96"/>
      <c r="Q92" s="96"/>
      <c r="R92" s="96"/>
    </row>
    <row r="93" spans="2:18" x14ac:dyDescent="0.25">
      <c r="C93" s="11"/>
      <c r="D93" s="50" t="s">
        <v>262</v>
      </c>
      <c r="E93" s="11" t="s">
        <v>202</v>
      </c>
      <c r="F93" s="51"/>
      <c r="G93" s="52"/>
      <c r="H93" s="11"/>
      <c r="I93" s="11"/>
      <c r="J93" s="14"/>
      <c r="K93" s="95"/>
      <c r="L93" s="95"/>
      <c r="M93" s="96"/>
      <c r="N93" s="96"/>
      <c r="O93" s="96"/>
      <c r="P93" s="96"/>
      <c r="Q93" s="96"/>
      <c r="R93" s="96"/>
    </row>
    <row r="94" spans="2:18" ht="15.6" x14ac:dyDescent="0.3">
      <c r="B94" s="54" t="s">
        <v>158</v>
      </c>
      <c r="C94" s="52" t="s">
        <v>263</v>
      </c>
      <c r="D94" s="57" t="s">
        <v>284</v>
      </c>
      <c r="E94" s="57" t="s">
        <v>285</v>
      </c>
      <c r="F94" s="57" t="s">
        <v>211</v>
      </c>
      <c r="G94" s="57" t="s">
        <v>286</v>
      </c>
      <c r="H94" s="57" t="s">
        <v>287</v>
      </c>
      <c r="I94" s="29" t="s">
        <v>280</v>
      </c>
      <c r="J94" s="29"/>
      <c r="K94" s="97"/>
      <c r="L94" s="97"/>
      <c r="M94" s="98"/>
      <c r="N94" s="99"/>
      <c r="O94" s="97"/>
      <c r="P94" s="97"/>
      <c r="Q94" s="97"/>
      <c r="R94" s="97"/>
    </row>
    <row r="95" spans="2:18" x14ac:dyDescent="0.25">
      <c r="B95" s="58" t="s">
        <v>267</v>
      </c>
      <c r="C95" s="59"/>
      <c r="D95" s="42"/>
      <c r="E95" s="78"/>
      <c r="F95" s="78"/>
      <c r="G95" s="78"/>
      <c r="H95" s="78"/>
      <c r="I95" s="71"/>
      <c r="J95" s="80"/>
      <c r="K95" s="100"/>
      <c r="L95" s="95"/>
      <c r="M95" s="101"/>
      <c r="N95" s="95"/>
      <c r="O95" s="95"/>
      <c r="P95" s="95"/>
      <c r="Q95" s="95"/>
      <c r="R95" s="95"/>
    </row>
    <row r="96" spans="2:18" x14ac:dyDescent="0.25">
      <c r="B96" s="11" t="s">
        <v>160</v>
      </c>
      <c r="C96" s="60">
        <v>1</v>
      </c>
      <c r="D96" s="175">
        <v>-1000000000</v>
      </c>
      <c r="E96" s="190">
        <v>2.3815830219684132E-2</v>
      </c>
      <c r="F96" s="190">
        <v>7.3330094470831053E-2</v>
      </c>
      <c r="G96" s="190">
        <v>0.15256843346682705</v>
      </c>
      <c r="H96" s="182">
        <v>0.26973663287122146</v>
      </c>
      <c r="I96" s="85" t="s">
        <v>266</v>
      </c>
      <c r="J96" s="86"/>
      <c r="K96" s="103"/>
      <c r="L96" s="104"/>
      <c r="M96" s="105"/>
      <c r="N96" s="104"/>
      <c r="O96" s="104"/>
      <c r="P96" s="104"/>
      <c r="Q96" s="104"/>
      <c r="R96" s="104"/>
    </row>
    <row r="97" spans="2:18" x14ac:dyDescent="0.25">
      <c r="B97" s="11" t="s">
        <v>205</v>
      </c>
      <c r="C97" s="60">
        <v>1</v>
      </c>
      <c r="D97" s="175">
        <v>-1000000000</v>
      </c>
      <c r="E97" s="190">
        <v>3.9505748599729884E-2</v>
      </c>
      <c r="F97" s="190">
        <v>0.12108488462810484</v>
      </c>
      <c r="G97" s="190">
        <v>0.2522360653711434</v>
      </c>
      <c r="H97" s="181">
        <v>0.53731235706442182</v>
      </c>
      <c r="I97" s="85" t="s">
        <v>266</v>
      </c>
      <c r="J97" s="86"/>
      <c r="K97" s="107"/>
      <c r="L97" s="107"/>
      <c r="M97" s="108"/>
      <c r="N97" s="109"/>
      <c r="O97" s="109"/>
      <c r="P97" s="109"/>
      <c r="Q97" s="109"/>
      <c r="R97" s="109"/>
    </row>
    <row r="98" spans="2:18" x14ac:dyDescent="0.25">
      <c r="B98" s="11" t="s">
        <v>206</v>
      </c>
      <c r="C98" s="60">
        <v>1</v>
      </c>
      <c r="D98" s="175"/>
      <c r="E98" s="190"/>
      <c r="F98" s="190"/>
      <c r="G98" s="190"/>
      <c r="H98" s="182"/>
      <c r="I98" s="85" t="s">
        <v>266</v>
      </c>
      <c r="J98" s="86"/>
      <c r="K98" s="103"/>
      <c r="L98" s="104"/>
      <c r="M98" s="105"/>
      <c r="N98" s="104"/>
      <c r="O98" s="104"/>
      <c r="P98" s="104"/>
      <c r="Q98" s="104"/>
      <c r="R98" s="104"/>
    </row>
    <row r="99" spans="2:18" x14ac:dyDescent="0.25">
      <c r="B99" s="11" t="s">
        <v>207</v>
      </c>
      <c r="C99" s="60">
        <v>1</v>
      </c>
      <c r="D99" s="175">
        <v>-1000000000</v>
      </c>
      <c r="E99" s="190">
        <v>7.8781552057122228E-2</v>
      </c>
      <c r="F99" s="190">
        <v>0.18448820846849875</v>
      </c>
      <c r="G99" s="190">
        <v>0.32885258863322092</v>
      </c>
      <c r="H99" s="182">
        <v>0.69570468462302038</v>
      </c>
      <c r="I99" s="85" t="s">
        <v>266</v>
      </c>
      <c r="J99" s="86"/>
      <c r="K99" s="103"/>
      <c r="L99" s="104"/>
      <c r="M99" s="105"/>
      <c r="N99" s="104"/>
      <c r="O99" s="104"/>
      <c r="P99" s="104"/>
      <c r="Q99" s="104"/>
      <c r="R99" s="104"/>
    </row>
    <row r="100" spans="2:18" x14ac:dyDescent="0.25">
      <c r="B100" s="58" t="s">
        <v>208</v>
      </c>
      <c r="C100" s="63"/>
      <c r="D100" s="177"/>
      <c r="E100" s="191"/>
      <c r="F100" s="191"/>
      <c r="G100" s="191"/>
      <c r="H100" s="188"/>
      <c r="I100" s="65"/>
      <c r="J100" s="22"/>
      <c r="K100" s="111"/>
      <c r="L100" s="112"/>
      <c r="M100" s="113"/>
      <c r="N100" s="112"/>
      <c r="O100" s="112"/>
      <c r="P100" s="112"/>
      <c r="Q100" s="112"/>
      <c r="R100" s="112"/>
    </row>
    <row r="101" spans="2:18" x14ac:dyDescent="0.25">
      <c r="B101" s="11" t="s">
        <v>151</v>
      </c>
      <c r="C101" s="60">
        <v>1</v>
      </c>
      <c r="D101" s="175">
        <v>-1000000000</v>
      </c>
      <c r="E101" s="190">
        <v>1.9715953032427624E-2</v>
      </c>
      <c r="F101" s="190">
        <v>5.3035934348208053E-2</v>
      </c>
      <c r="G101" s="190">
        <v>0.12154157195633612</v>
      </c>
      <c r="H101" s="181">
        <v>0.28321816383609266</v>
      </c>
      <c r="I101" s="26" t="s">
        <v>266</v>
      </c>
      <c r="J101" s="80"/>
      <c r="K101" s="107"/>
      <c r="L101" s="107"/>
      <c r="M101" s="108"/>
      <c r="N101" s="109"/>
      <c r="O101" s="109"/>
      <c r="P101" s="109"/>
      <c r="Q101" s="109"/>
      <c r="R101" s="109"/>
    </row>
    <row r="102" spans="2:18" x14ac:dyDescent="0.25">
      <c r="B102" s="11" t="s">
        <v>152</v>
      </c>
      <c r="C102" s="60">
        <v>1</v>
      </c>
      <c r="D102" s="175">
        <v>-1000000000</v>
      </c>
      <c r="E102" s="190">
        <v>3.6748376371283746E-2</v>
      </c>
      <c r="F102" s="190">
        <v>8.7372836319525027E-2</v>
      </c>
      <c r="G102" s="190">
        <v>0.20532968406378097</v>
      </c>
      <c r="H102" s="181">
        <v>0.47300163965696629</v>
      </c>
      <c r="I102" s="26" t="s">
        <v>266</v>
      </c>
      <c r="J102" s="80"/>
      <c r="K102" s="107"/>
      <c r="L102" s="107"/>
      <c r="M102" s="108"/>
      <c r="N102" s="109"/>
      <c r="O102" s="109"/>
      <c r="P102" s="109"/>
      <c r="Q102" s="109"/>
      <c r="R102" s="109"/>
    </row>
    <row r="103" spans="2:18" x14ac:dyDescent="0.25">
      <c r="B103" s="11" t="s">
        <v>170</v>
      </c>
      <c r="C103" s="60">
        <v>1</v>
      </c>
      <c r="D103" s="175">
        <v>-1000000000</v>
      </c>
      <c r="E103" s="190">
        <v>1.8054352730966609E-2</v>
      </c>
      <c r="F103" s="190">
        <v>6.4205425754547629E-2</v>
      </c>
      <c r="G103" s="190">
        <v>0.13220823478920266</v>
      </c>
      <c r="H103" s="181">
        <v>0.26381715058724931</v>
      </c>
      <c r="I103" s="26" t="s">
        <v>266</v>
      </c>
      <c r="J103" s="80"/>
      <c r="K103" s="107"/>
      <c r="L103" s="107"/>
      <c r="M103" s="108"/>
      <c r="N103" s="109"/>
      <c r="O103" s="109"/>
      <c r="P103" s="109"/>
      <c r="Q103" s="109"/>
      <c r="R103" s="109"/>
    </row>
    <row r="104" spans="2:18" x14ac:dyDescent="0.25">
      <c r="B104" s="11" t="s">
        <v>172</v>
      </c>
      <c r="C104" s="60">
        <v>1</v>
      </c>
      <c r="D104" s="175">
        <v>-1000000000</v>
      </c>
      <c r="E104" s="190">
        <v>2.2363569322377579E-2</v>
      </c>
      <c r="F104" s="190">
        <v>6.1971925992010422E-2</v>
      </c>
      <c r="G104" s="190">
        <v>0.11134337025554061</v>
      </c>
      <c r="H104" s="181">
        <v>0.23439249365794396</v>
      </c>
      <c r="I104" s="26" t="s">
        <v>266</v>
      </c>
      <c r="J104" s="80"/>
      <c r="K104" s="107"/>
      <c r="L104" s="107"/>
      <c r="M104" s="108"/>
      <c r="N104" s="109"/>
      <c r="O104" s="109"/>
      <c r="P104" s="109"/>
      <c r="Q104" s="109"/>
      <c r="R104" s="109"/>
    </row>
    <row r="105" spans="2:18" x14ac:dyDescent="0.25">
      <c r="B105" s="11" t="s">
        <v>174</v>
      </c>
      <c r="C105" s="60">
        <v>1</v>
      </c>
      <c r="D105" s="175">
        <v>-1000000000</v>
      </c>
      <c r="E105" s="190">
        <v>3.6704505812876079E-3</v>
      </c>
      <c r="F105" s="190">
        <v>5.8315670830922837E-2</v>
      </c>
      <c r="G105" s="190">
        <v>0.1489898598286073</v>
      </c>
      <c r="H105" s="181">
        <v>0.31014606532140337</v>
      </c>
      <c r="I105" s="26" t="s">
        <v>266</v>
      </c>
      <c r="J105" s="80"/>
      <c r="K105" s="107"/>
      <c r="L105" s="107"/>
      <c r="M105" s="108"/>
      <c r="N105" s="109"/>
      <c r="O105" s="109"/>
      <c r="P105" s="109"/>
      <c r="Q105" s="109"/>
      <c r="R105" s="109"/>
    </row>
    <row r="106" spans="2:18" x14ac:dyDescent="0.25">
      <c r="B106" s="58" t="s">
        <v>268</v>
      </c>
      <c r="C106" s="63"/>
      <c r="D106" s="178"/>
      <c r="E106" s="191"/>
      <c r="F106" s="191"/>
      <c r="G106" s="191"/>
      <c r="H106" s="188"/>
      <c r="I106" s="65"/>
      <c r="J106" s="22"/>
      <c r="K106" s="112"/>
      <c r="L106" s="112"/>
      <c r="M106" s="113"/>
      <c r="N106" s="112"/>
      <c r="O106" s="112"/>
      <c r="P106" s="112"/>
      <c r="Q106" s="112"/>
      <c r="R106" s="112"/>
    </row>
    <row r="107" spans="2:18" x14ac:dyDescent="0.25">
      <c r="B107" s="11" t="s">
        <v>176</v>
      </c>
      <c r="C107" s="60">
        <v>1</v>
      </c>
      <c r="D107" s="175">
        <v>-1000000000</v>
      </c>
      <c r="E107" s="190">
        <v>5.463738277410535E-4</v>
      </c>
      <c r="F107" s="190">
        <v>0.12221630571571078</v>
      </c>
      <c r="G107" s="190">
        <v>0.28362132554380692</v>
      </c>
      <c r="H107" s="181">
        <v>0.63415576032052912</v>
      </c>
      <c r="I107" s="85" t="s">
        <v>266</v>
      </c>
      <c r="J107" s="86"/>
      <c r="K107" s="107"/>
      <c r="L107" s="107"/>
      <c r="M107" s="108"/>
      <c r="N107" s="109"/>
      <c r="O107" s="109"/>
      <c r="P107" s="109"/>
      <c r="Q107" s="109"/>
      <c r="R107" s="109"/>
    </row>
    <row r="108" spans="2:18" x14ac:dyDescent="0.25">
      <c r="B108" s="11" t="s">
        <v>153</v>
      </c>
      <c r="C108" s="60">
        <v>1</v>
      </c>
      <c r="D108" s="175">
        <v>-1000000000</v>
      </c>
      <c r="E108" s="190">
        <v>5.3936867007311991E-2</v>
      </c>
      <c r="F108" s="190">
        <v>0.13604898481742242</v>
      </c>
      <c r="G108" s="190">
        <v>0.27772350954743752</v>
      </c>
      <c r="H108" s="182">
        <v>0.57114088670358387</v>
      </c>
      <c r="I108" s="85" t="s">
        <v>266</v>
      </c>
      <c r="J108" s="86"/>
      <c r="K108" s="107"/>
      <c r="L108" s="104"/>
      <c r="M108" s="105"/>
      <c r="N108" s="104"/>
      <c r="O108" s="104"/>
      <c r="P108" s="104"/>
      <c r="Q108" s="104"/>
      <c r="R108" s="104"/>
    </row>
    <row r="109" spans="2:18" x14ac:dyDescent="0.25">
      <c r="B109" s="58" t="s">
        <v>269</v>
      </c>
      <c r="C109" s="63"/>
      <c r="D109" s="185"/>
      <c r="E109" s="191"/>
      <c r="F109" s="191"/>
      <c r="G109" s="191"/>
      <c r="H109" s="188"/>
      <c r="I109" s="71"/>
      <c r="J109" s="80"/>
      <c r="K109" s="114"/>
      <c r="L109" s="107"/>
      <c r="M109" s="108"/>
      <c r="N109" s="109"/>
      <c r="O109" s="109"/>
      <c r="P109" s="109"/>
      <c r="Q109" s="109"/>
      <c r="R109" s="109"/>
    </row>
    <row r="110" spans="2:18" x14ac:dyDescent="0.25">
      <c r="B110" s="11" t="s">
        <v>178</v>
      </c>
      <c r="C110" s="60">
        <v>1</v>
      </c>
      <c r="D110" s="175">
        <v>-1000000000</v>
      </c>
      <c r="E110" s="190">
        <v>5.7128365550188388E-2</v>
      </c>
      <c r="F110" s="190">
        <v>0.14075996581090908</v>
      </c>
      <c r="G110" s="190">
        <v>0.26053459894445014</v>
      </c>
      <c r="H110" s="181">
        <v>0.50108502859441773</v>
      </c>
      <c r="I110" s="26" t="s">
        <v>266</v>
      </c>
      <c r="J110" s="80"/>
      <c r="K110" s="107"/>
      <c r="L110" s="107"/>
      <c r="M110" s="108"/>
      <c r="N110" s="109"/>
      <c r="O110" s="109"/>
      <c r="P110" s="109"/>
      <c r="Q110" s="109"/>
      <c r="R110" s="109"/>
    </row>
    <row r="111" spans="2:18" x14ac:dyDescent="0.25">
      <c r="B111" s="11" t="s">
        <v>209</v>
      </c>
      <c r="C111" s="60">
        <v>1</v>
      </c>
      <c r="D111" s="175">
        <v>-1000000000</v>
      </c>
      <c r="E111" s="190">
        <v>0</v>
      </c>
      <c r="F111" s="190">
        <v>8.2301804845120119E-2</v>
      </c>
      <c r="G111" s="190">
        <v>0.2067976303213481</v>
      </c>
      <c r="H111" s="181">
        <v>0.4560253702197154</v>
      </c>
      <c r="I111" s="26" t="s">
        <v>266</v>
      </c>
      <c r="J111" s="80"/>
      <c r="K111" s="107"/>
      <c r="L111" s="107"/>
      <c r="M111" s="108"/>
      <c r="N111" s="109"/>
      <c r="O111" s="109"/>
      <c r="P111" s="109"/>
      <c r="Q111" s="109"/>
      <c r="R111" s="109"/>
    </row>
    <row r="112" spans="2:18" x14ac:dyDescent="0.25">
      <c r="B112" s="11" t="s">
        <v>270</v>
      </c>
      <c r="C112" s="60">
        <v>1</v>
      </c>
      <c r="D112" s="175"/>
      <c r="E112" s="102"/>
      <c r="F112" s="102"/>
      <c r="G112" s="102"/>
      <c r="H112" s="106"/>
      <c r="I112" s="26" t="s">
        <v>266</v>
      </c>
      <c r="J112" s="80"/>
      <c r="K112" s="107"/>
      <c r="L112" s="107"/>
      <c r="M112" s="108"/>
      <c r="N112" s="109"/>
      <c r="O112" s="109"/>
      <c r="P112" s="109"/>
      <c r="Q112" s="109"/>
      <c r="R112" s="109"/>
    </row>
    <row r="113" spans="2:27" x14ac:dyDescent="0.25">
      <c r="B113" s="58" t="s">
        <v>201</v>
      </c>
      <c r="C113" s="63"/>
      <c r="D113" s="115"/>
      <c r="E113" s="116"/>
      <c r="F113" s="116"/>
      <c r="G113" s="116"/>
      <c r="H113" s="110"/>
      <c r="I113" s="21"/>
      <c r="J113" s="56"/>
      <c r="K113" s="117"/>
      <c r="L113" s="118"/>
      <c r="M113" s="119"/>
      <c r="N113" s="118"/>
      <c r="O113" s="109"/>
      <c r="P113" s="109"/>
      <c r="Q113" s="109"/>
      <c r="R113" s="109"/>
    </row>
    <row r="114" spans="2:27" x14ac:dyDescent="0.25">
      <c r="B114" s="74" t="s">
        <v>271</v>
      </c>
      <c r="D114" s="75">
        <v>100</v>
      </c>
      <c r="E114" s="120">
        <v>75</v>
      </c>
      <c r="F114" s="120">
        <v>50</v>
      </c>
      <c r="G114" s="120">
        <v>25</v>
      </c>
      <c r="H114" s="75">
        <v>0</v>
      </c>
      <c r="I114" s="80">
        <v>50</v>
      </c>
      <c r="J114" s="80"/>
      <c r="K114" s="121"/>
      <c r="L114" s="121"/>
      <c r="M114" s="122"/>
      <c r="N114" s="121"/>
      <c r="O114" s="121"/>
      <c r="P114" s="121"/>
      <c r="Q114" s="121"/>
      <c r="R114" s="121"/>
    </row>
    <row r="115" spans="2:27" x14ac:dyDescent="0.25">
      <c r="B115" s="74" t="s">
        <v>272</v>
      </c>
      <c r="D115" s="25"/>
      <c r="E115" s="25"/>
      <c r="F115" s="25"/>
      <c r="G115" s="25"/>
      <c r="H115" s="25"/>
      <c r="I115" s="93"/>
      <c r="J115" s="94"/>
      <c r="K115" s="123"/>
      <c r="L115" s="28"/>
      <c r="M115" s="28"/>
      <c r="N115" s="28"/>
      <c r="O115" s="28"/>
      <c r="P115" s="28"/>
      <c r="Q115" s="28"/>
      <c r="R115" s="28"/>
    </row>
    <row r="116" spans="2:27" x14ac:dyDescent="0.25">
      <c r="B116" s="74" t="s">
        <v>273</v>
      </c>
      <c r="D116" s="25"/>
      <c r="E116" s="25"/>
      <c r="F116" s="25"/>
      <c r="G116" s="25"/>
      <c r="H116" s="25"/>
      <c r="I116" s="94"/>
      <c r="J116" s="94"/>
      <c r="K116" s="123"/>
      <c r="L116" s="28"/>
      <c r="M116" s="28"/>
      <c r="N116" s="28"/>
      <c r="O116" s="28"/>
      <c r="P116" s="28"/>
      <c r="Q116" s="28"/>
      <c r="R116" s="28"/>
    </row>
    <row r="117" spans="2:27" x14ac:dyDescent="0.25">
      <c r="B117" s="16" t="s">
        <v>274</v>
      </c>
      <c r="D117" s="25"/>
      <c r="E117" s="25"/>
      <c r="F117" s="25"/>
      <c r="G117" s="25"/>
      <c r="H117" s="25"/>
      <c r="I117" s="94"/>
      <c r="J117" s="94"/>
      <c r="K117" s="25"/>
    </row>
    <row r="118" spans="2:27" x14ac:dyDescent="0.25">
      <c r="B118" s="16" t="s">
        <v>275</v>
      </c>
      <c r="D118" s="25"/>
      <c r="E118" s="25"/>
      <c r="F118" s="25"/>
      <c r="G118" s="25"/>
      <c r="H118" s="25"/>
      <c r="I118" s="25"/>
      <c r="J118" s="123"/>
      <c r="K118" s="25"/>
    </row>
    <row r="119" spans="2:27" x14ac:dyDescent="0.25">
      <c r="B119" s="16"/>
      <c r="D119" s="25"/>
      <c r="E119" s="25"/>
      <c r="F119" s="25"/>
      <c r="G119" s="25"/>
      <c r="H119" s="25"/>
      <c r="I119" s="25"/>
      <c r="J119" s="123"/>
      <c r="K119" s="25"/>
    </row>
    <row r="120" spans="2:27" x14ac:dyDescent="0.25">
      <c r="B120" s="16"/>
      <c r="D120" s="25"/>
      <c r="E120" s="25"/>
      <c r="F120" s="25"/>
      <c r="G120" s="25"/>
      <c r="H120" s="25"/>
      <c r="I120" s="25"/>
      <c r="J120" s="123"/>
      <c r="K120" s="25"/>
    </row>
    <row r="121" spans="2:27" ht="15.6" x14ac:dyDescent="0.3">
      <c r="B121" s="124" t="s">
        <v>288</v>
      </c>
      <c r="C121" s="11"/>
      <c r="D121" s="94"/>
      <c r="E121" s="94"/>
      <c r="F121" s="94"/>
      <c r="G121" s="94"/>
      <c r="H121" s="14"/>
      <c r="I121" s="14"/>
      <c r="J121" s="14"/>
      <c r="K121" s="14"/>
      <c r="L121" s="14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2:27" x14ac:dyDescent="0.25">
      <c r="B122" s="34"/>
      <c r="C122" s="31"/>
      <c r="D122" s="17"/>
      <c r="E122" s="125"/>
      <c r="F122" s="125"/>
      <c r="G122" s="125"/>
      <c r="H122" s="125"/>
      <c r="I122" s="125"/>
      <c r="J122" s="125"/>
      <c r="K122" s="125"/>
      <c r="L122" s="14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2:27" ht="12.75" customHeight="1" x14ac:dyDescent="0.3">
      <c r="B123" s="126" t="s">
        <v>203</v>
      </c>
      <c r="C123" s="127"/>
      <c r="D123" s="127"/>
      <c r="E123" s="66"/>
      <c r="F123" s="128"/>
      <c r="G123" s="66"/>
      <c r="H123" s="24"/>
      <c r="I123" s="24"/>
      <c r="J123" s="24"/>
      <c r="K123" s="24"/>
      <c r="L123" s="22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2:27" x14ac:dyDescent="0.25">
      <c r="B124" s="8" t="s">
        <v>210</v>
      </c>
      <c r="C124" s="129" t="s">
        <v>242</v>
      </c>
      <c r="D124" s="130" t="s">
        <v>211</v>
      </c>
      <c r="E124" s="130" t="s">
        <v>258</v>
      </c>
      <c r="F124" s="130"/>
      <c r="G124" s="130"/>
      <c r="H124" s="11"/>
      <c r="I124" s="11"/>
      <c r="J124" s="14"/>
      <c r="K124" s="131"/>
      <c r="L124" s="22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2:27" x14ac:dyDescent="0.25">
      <c r="B125" s="8"/>
      <c r="C125" s="132">
        <v>0</v>
      </c>
      <c r="D125" s="132">
        <v>50</v>
      </c>
      <c r="E125" s="132">
        <v>100</v>
      </c>
      <c r="F125" s="132"/>
      <c r="G125" s="132"/>
      <c r="H125" s="11"/>
      <c r="I125" s="11"/>
      <c r="J125" s="14"/>
      <c r="K125" s="132"/>
      <c r="L125" s="22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2:27" x14ac:dyDescent="0.25">
      <c r="B126" s="8" t="s">
        <v>212</v>
      </c>
      <c r="C126" s="129" t="s">
        <v>289</v>
      </c>
      <c r="D126" s="130" t="s">
        <v>211</v>
      </c>
      <c r="E126" s="130" t="s">
        <v>213</v>
      </c>
      <c r="F126" s="130" t="s">
        <v>290</v>
      </c>
      <c r="G126" s="130"/>
      <c r="H126" s="11"/>
      <c r="I126" s="11"/>
      <c r="J126" s="14"/>
      <c r="K126" s="131"/>
      <c r="L126" s="22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2:27" x14ac:dyDescent="0.25">
      <c r="B127" s="8"/>
      <c r="C127" s="132">
        <v>0</v>
      </c>
      <c r="D127" s="132">
        <v>50</v>
      </c>
      <c r="E127" s="132">
        <v>75</v>
      </c>
      <c r="F127" s="132">
        <v>100</v>
      </c>
      <c r="G127" s="132"/>
      <c r="H127" s="11"/>
      <c r="I127" s="11"/>
      <c r="J127" s="14"/>
      <c r="K127" s="132"/>
      <c r="L127" s="22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2:27" x14ac:dyDescent="0.25">
      <c r="B128" s="8" t="s">
        <v>214</v>
      </c>
      <c r="C128" s="129" t="s">
        <v>282</v>
      </c>
      <c r="D128" s="130" t="s">
        <v>291</v>
      </c>
      <c r="E128" s="130" t="s">
        <v>211</v>
      </c>
      <c r="F128" s="130" t="s">
        <v>258</v>
      </c>
      <c r="G128" s="130" t="s">
        <v>292</v>
      </c>
      <c r="H128" s="11"/>
      <c r="I128" s="11"/>
      <c r="J128" s="14"/>
      <c r="K128" s="131"/>
      <c r="L128" s="22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2:27" x14ac:dyDescent="0.25">
      <c r="B129" s="8"/>
      <c r="C129" s="132">
        <v>0</v>
      </c>
      <c r="D129" s="132">
        <v>0</v>
      </c>
      <c r="E129" s="132">
        <v>50</v>
      </c>
      <c r="F129" s="132">
        <v>75</v>
      </c>
      <c r="G129" s="132">
        <v>100</v>
      </c>
      <c r="H129" s="11"/>
      <c r="I129" s="11"/>
      <c r="J129" s="14"/>
      <c r="K129" s="132"/>
      <c r="L129" s="22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2:27" x14ac:dyDescent="0.25">
      <c r="B130" s="8" t="s">
        <v>215</v>
      </c>
      <c r="C130" s="129" t="s">
        <v>216</v>
      </c>
      <c r="D130" s="130" t="s">
        <v>211</v>
      </c>
      <c r="E130" s="130" t="s">
        <v>219</v>
      </c>
      <c r="F130" s="130"/>
      <c r="G130" s="130"/>
      <c r="H130" s="11"/>
      <c r="I130" s="11"/>
      <c r="J130" s="14"/>
      <c r="K130" s="131"/>
      <c r="L130" s="22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2:27" x14ac:dyDescent="0.25">
      <c r="B131" s="8"/>
      <c r="C131" s="132">
        <v>100</v>
      </c>
      <c r="D131" s="132">
        <v>50</v>
      </c>
      <c r="E131" s="132">
        <v>0</v>
      </c>
      <c r="F131" s="132"/>
      <c r="G131" s="132"/>
      <c r="H131" s="11"/>
      <c r="I131" s="11"/>
      <c r="J131" s="14"/>
      <c r="K131" s="132"/>
      <c r="L131" s="22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2:27" x14ac:dyDescent="0.25">
      <c r="B132" s="8" t="s">
        <v>217</v>
      </c>
      <c r="C132" s="129" t="s">
        <v>216</v>
      </c>
      <c r="D132" s="130" t="s">
        <v>219</v>
      </c>
      <c r="E132" s="130" t="s">
        <v>265</v>
      </c>
      <c r="F132" s="130"/>
      <c r="G132" s="130"/>
      <c r="H132" s="11"/>
      <c r="I132" s="11"/>
      <c r="J132" s="14"/>
      <c r="K132" s="131"/>
      <c r="L132" s="22"/>
      <c r="M132" s="14"/>
      <c r="N132" s="14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2:27" x14ac:dyDescent="0.25">
      <c r="B133" s="8"/>
      <c r="C133" s="132">
        <v>100</v>
      </c>
      <c r="D133" s="132">
        <v>50</v>
      </c>
      <c r="E133" s="132">
        <v>0</v>
      </c>
      <c r="F133" s="132"/>
      <c r="G133" s="132"/>
      <c r="H133" s="11"/>
      <c r="I133" s="11"/>
      <c r="J133" s="14"/>
      <c r="K133" s="132"/>
      <c r="L133" s="22"/>
      <c r="M133" s="14"/>
      <c r="N133" s="14"/>
      <c r="O133" s="14"/>
      <c r="P133" s="14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2:27" x14ac:dyDescent="0.25">
      <c r="B134" s="8"/>
      <c r="C134" s="132"/>
      <c r="D134" s="132"/>
      <c r="E134" s="132"/>
      <c r="F134" s="132"/>
      <c r="G134" s="132"/>
      <c r="H134" s="11"/>
      <c r="I134" s="11"/>
      <c r="J134" s="14"/>
      <c r="K134" s="132"/>
      <c r="L134" s="22"/>
      <c r="M134" s="14"/>
      <c r="N134" s="14"/>
      <c r="O134" s="14"/>
      <c r="P134" s="14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2:27" ht="12.75" customHeight="1" x14ac:dyDescent="0.25">
      <c r="B135" s="126" t="s">
        <v>208</v>
      </c>
      <c r="C135" s="133"/>
      <c r="D135" s="133"/>
      <c r="E135" s="133"/>
      <c r="F135" s="133"/>
      <c r="G135" s="133"/>
      <c r="H135" s="11"/>
      <c r="I135" s="11"/>
      <c r="J135" s="14"/>
      <c r="K135" s="134"/>
      <c r="L135" s="135"/>
      <c r="M135" s="135"/>
      <c r="N135" s="135"/>
      <c r="O135" s="14"/>
      <c r="P135" s="14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2:27" ht="13.8" x14ac:dyDescent="0.25">
      <c r="B136" s="8" t="s">
        <v>218</v>
      </c>
      <c r="C136" s="129" t="s">
        <v>216</v>
      </c>
      <c r="D136" s="130" t="s">
        <v>211</v>
      </c>
      <c r="E136" s="130" t="s">
        <v>219</v>
      </c>
      <c r="F136" s="130" t="s">
        <v>293</v>
      </c>
      <c r="G136" s="24"/>
      <c r="H136" s="11"/>
      <c r="I136" s="11"/>
      <c r="J136" s="14"/>
      <c r="K136" s="136"/>
      <c r="L136" s="136"/>
      <c r="M136" s="136"/>
      <c r="N136" s="136"/>
      <c r="O136" s="14"/>
      <c r="P136" s="14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2:27" ht="13.8" x14ac:dyDescent="0.25">
      <c r="B137" s="8"/>
      <c r="C137" s="132">
        <v>100</v>
      </c>
      <c r="D137" s="132">
        <v>50</v>
      </c>
      <c r="E137" s="132">
        <v>25</v>
      </c>
      <c r="F137" s="132">
        <v>0</v>
      </c>
      <c r="G137" s="130"/>
      <c r="H137" s="11"/>
      <c r="I137" s="11"/>
      <c r="J137" s="14"/>
      <c r="K137" s="136"/>
      <c r="L137" s="136"/>
      <c r="M137" s="136"/>
      <c r="N137" s="136"/>
      <c r="O137" s="14"/>
      <c r="P137" s="14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2:27" x14ac:dyDescent="0.25">
      <c r="B138" s="8" t="s">
        <v>294</v>
      </c>
      <c r="C138" s="129" t="s">
        <v>216</v>
      </c>
      <c r="D138" s="130" t="s">
        <v>211</v>
      </c>
      <c r="E138" s="130" t="s">
        <v>219</v>
      </c>
      <c r="F138" s="130"/>
      <c r="G138" s="132"/>
      <c r="H138" s="11"/>
      <c r="I138" s="11"/>
      <c r="J138" s="14"/>
      <c r="K138" s="132"/>
      <c r="L138" s="22"/>
      <c r="M138" s="14"/>
      <c r="N138" s="14"/>
      <c r="O138" s="14"/>
      <c r="P138" s="14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2:27" x14ac:dyDescent="0.25">
      <c r="B139" s="8"/>
      <c r="C139" s="132">
        <v>0</v>
      </c>
      <c r="D139" s="132">
        <v>50</v>
      </c>
      <c r="E139" s="132">
        <v>100</v>
      </c>
      <c r="F139" s="132"/>
      <c r="G139" s="130"/>
      <c r="H139" s="11"/>
      <c r="I139" s="11"/>
      <c r="J139" s="14"/>
      <c r="K139" s="131"/>
      <c r="L139" s="22"/>
      <c r="M139" s="14"/>
      <c r="N139" s="14"/>
      <c r="O139" s="14"/>
      <c r="P139" s="14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2:27" x14ac:dyDescent="0.25">
      <c r="B140" s="8"/>
      <c r="C140" s="132"/>
      <c r="D140" s="132"/>
      <c r="E140" s="132"/>
      <c r="F140" s="132"/>
      <c r="G140" s="130"/>
      <c r="H140" s="11"/>
      <c r="I140" s="11"/>
      <c r="J140" s="14"/>
      <c r="K140" s="131"/>
      <c r="L140" s="22"/>
      <c r="M140" s="14"/>
      <c r="N140" s="14"/>
      <c r="O140" s="14"/>
      <c r="P140" s="14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2:27" x14ac:dyDescent="0.25">
      <c r="B141" s="126" t="s">
        <v>220</v>
      </c>
      <c r="C141" s="133"/>
      <c r="D141" s="133"/>
      <c r="E141" s="133"/>
      <c r="F141" s="133"/>
      <c r="G141" s="133"/>
      <c r="H141" s="11"/>
      <c r="I141" s="11"/>
      <c r="J141" s="14"/>
      <c r="K141" s="131"/>
      <c r="L141" s="22"/>
      <c r="M141" s="14"/>
      <c r="N141" s="14"/>
      <c r="O141" s="14"/>
      <c r="P141" s="14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2:27" x14ac:dyDescent="0.25">
      <c r="B142" s="8" t="s">
        <v>221</v>
      </c>
      <c r="C142" s="129" t="s">
        <v>216</v>
      </c>
      <c r="D142" s="130" t="s">
        <v>211</v>
      </c>
      <c r="E142" s="130" t="s">
        <v>219</v>
      </c>
      <c r="F142" s="130" t="s">
        <v>293</v>
      </c>
      <c r="G142" s="24"/>
      <c r="H142" s="11"/>
      <c r="I142" s="11"/>
      <c r="J142" s="14"/>
      <c r="K142" s="131"/>
      <c r="L142" s="22"/>
      <c r="M142" s="14"/>
      <c r="N142" s="14"/>
      <c r="O142" s="14"/>
      <c r="P142" s="14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2:27" x14ac:dyDescent="0.25">
      <c r="C143" s="132">
        <v>0</v>
      </c>
      <c r="D143" s="132">
        <v>50</v>
      </c>
      <c r="E143" s="132">
        <v>75</v>
      </c>
      <c r="F143" s="132">
        <v>100</v>
      </c>
      <c r="G143" s="130"/>
      <c r="H143" s="11"/>
      <c r="I143" s="11"/>
      <c r="J143" s="14"/>
      <c r="K143" s="131"/>
      <c r="L143" s="22"/>
      <c r="M143" s="14"/>
      <c r="N143" s="14"/>
      <c r="O143" s="14"/>
      <c r="P143" s="14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2:27" x14ac:dyDescent="0.25">
      <c r="B144" s="8" t="s">
        <v>222</v>
      </c>
      <c r="C144" s="129" t="s">
        <v>216</v>
      </c>
      <c r="D144" s="130" t="s">
        <v>211</v>
      </c>
      <c r="E144" s="130" t="s">
        <v>219</v>
      </c>
      <c r="F144" s="130" t="s">
        <v>293</v>
      </c>
      <c r="G144" s="132"/>
      <c r="H144" s="11"/>
      <c r="I144" s="11"/>
      <c r="J144" s="14"/>
      <c r="K144" s="131"/>
      <c r="L144" s="22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2:27" x14ac:dyDescent="0.25">
      <c r="B145" s="8"/>
      <c r="C145" s="132">
        <v>0</v>
      </c>
      <c r="D145" s="132">
        <v>50</v>
      </c>
      <c r="E145" s="132">
        <v>75</v>
      </c>
      <c r="F145" s="132">
        <v>100</v>
      </c>
      <c r="G145" s="130"/>
      <c r="H145" s="11"/>
      <c r="I145" s="11"/>
      <c r="J145" s="14"/>
      <c r="K145" s="131"/>
      <c r="L145" s="22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2:27" x14ac:dyDescent="0.25">
      <c r="B146" s="8"/>
      <c r="C146" s="132"/>
      <c r="D146" s="132"/>
      <c r="E146" s="132"/>
      <c r="F146" s="132"/>
      <c r="G146" s="130"/>
      <c r="H146" s="11"/>
      <c r="I146" s="11"/>
      <c r="J146" s="14"/>
      <c r="K146" s="131"/>
      <c r="L146" s="22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2:27" x14ac:dyDescent="0.25">
      <c r="C147" s="11"/>
      <c r="D147" s="11"/>
      <c r="E147" s="11"/>
      <c r="F147" s="11"/>
      <c r="G147" s="11"/>
      <c r="H147" s="11"/>
      <c r="I147" s="11"/>
      <c r="J147" s="14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4"/>
      <c r="X147" s="14"/>
      <c r="Y147" s="14"/>
      <c r="Z147" s="11"/>
      <c r="AA147" s="11"/>
    </row>
    <row r="148" spans="2:27" x14ac:dyDescent="0.25">
      <c r="C148" s="11"/>
      <c r="D148" s="11"/>
      <c r="E148" s="11"/>
      <c r="F148" s="11"/>
      <c r="G148" s="11"/>
      <c r="H148" s="11"/>
      <c r="I148" s="11"/>
      <c r="J148" s="14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4"/>
      <c r="X148" s="14"/>
      <c r="Y148" s="14"/>
      <c r="Z148" s="11"/>
      <c r="AA148" s="11"/>
    </row>
    <row r="149" spans="2:27" x14ac:dyDescent="0.25">
      <c r="B149" s="137" t="s">
        <v>295</v>
      </c>
      <c r="C149" s="65"/>
      <c r="D149" s="71"/>
      <c r="E149" s="71"/>
      <c r="F149" s="71"/>
      <c r="G149" s="71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11"/>
      <c r="AA149" s="11"/>
    </row>
    <row r="150" spans="2:27" x14ac:dyDescent="0.25">
      <c r="C150" s="7" t="s">
        <v>296</v>
      </c>
      <c r="D150" s="7" t="s">
        <v>343</v>
      </c>
      <c r="E150" s="7" t="s">
        <v>297</v>
      </c>
      <c r="F150" s="7" t="s">
        <v>298</v>
      </c>
      <c r="G150" s="7" t="s">
        <v>335</v>
      </c>
      <c r="H150" s="7" t="s">
        <v>344</v>
      </c>
      <c r="I150" s="7" t="s">
        <v>336</v>
      </c>
      <c r="J150" s="7" t="s">
        <v>323</v>
      </c>
      <c r="K150" s="7" t="s">
        <v>337</v>
      </c>
      <c r="L150" s="7" t="s">
        <v>338</v>
      </c>
      <c r="M150" s="7" t="s">
        <v>339</v>
      </c>
      <c r="N150" s="7" t="s">
        <v>340</v>
      </c>
      <c r="O150" s="7" t="s">
        <v>225</v>
      </c>
      <c r="P150" s="7" t="s">
        <v>224</v>
      </c>
      <c r="Q150" s="7" t="s">
        <v>299</v>
      </c>
      <c r="R150" s="7" t="s">
        <v>300</v>
      </c>
      <c r="S150" s="7" t="s">
        <v>301</v>
      </c>
      <c r="T150" s="7" t="s">
        <v>302</v>
      </c>
      <c r="U150" s="138" t="s">
        <v>303</v>
      </c>
      <c r="V150" s="7" t="s">
        <v>304</v>
      </c>
      <c r="W150" s="138" t="s">
        <v>326</v>
      </c>
      <c r="X150" s="138" t="s">
        <v>327</v>
      </c>
      <c r="Y150" s="192" t="s">
        <v>341</v>
      </c>
      <c r="Z150" s="11"/>
      <c r="AA150" s="11"/>
    </row>
    <row r="151" spans="2:27" x14ac:dyDescent="0.25">
      <c r="B151" s="139" t="s">
        <v>223</v>
      </c>
      <c r="C151" s="11">
        <f t="shared" ref="C151:Y151" si="4">0.25*(C154+C155+C156+C157)</f>
        <v>31.25</v>
      </c>
      <c r="D151" s="11">
        <f t="shared" si="4"/>
        <v>75</v>
      </c>
      <c r="E151" s="11">
        <f t="shared" si="4"/>
        <v>37.5</v>
      </c>
      <c r="F151" s="11">
        <f t="shared" si="4"/>
        <v>62.5</v>
      </c>
      <c r="G151" s="11">
        <f t="shared" si="4"/>
        <v>62.5</v>
      </c>
      <c r="H151" s="11">
        <f t="shared" si="4"/>
        <v>75</v>
      </c>
      <c r="I151" s="11">
        <f t="shared" si="4"/>
        <v>43.75</v>
      </c>
      <c r="J151" s="11">
        <f t="shared" si="4"/>
        <v>43.75</v>
      </c>
      <c r="K151" s="11">
        <f t="shared" si="4"/>
        <v>62.5</v>
      </c>
      <c r="L151" s="11">
        <f t="shared" si="4"/>
        <v>62.5</v>
      </c>
      <c r="M151" s="11">
        <f t="shared" si="4"/>
        <v>43.75</v>
      </c>
      <c r="N151" s="11">
        <f t="shared" si="4"/>
        <v>43.75</v>
      </c>
      <c r="O151" s="11">
        <f t="shared" si="4"/>
        <v>37.5</v>
      </c>
      <c r="P151" s="11">
        <f t="shared" si="4"/>
        <v>50</v>
      </c>
      <c r="Q151" s="11">
        <f t="shared" si="4"/>
        <v>37.5</v>
      </c>
      <c r="R151" s="11">
        <f t="shared" si="4"/>
        <v>75</v>
      </c>
      <c r="S151" s="11">
        <f t="shared" si="4"/>
        <v>43.75</v>
      </c>
      <c r="T151" s="11">
        <f t="shared" si="4"/>
        <v>31.25</v>
      </c>
      <c r="U151" s="11">
        <f t="shared" si="4"/>
        <v>37.5</v>
      </c>
      <c r="V151" s="11">
        <f t="shared" si="4"/>
        <v>50</v>
      </c>
      <c r="W151" s="11">
        <f t="shared" si="4"/>
        <v>43.75</v>
      </c>
      <c r="X151" s="11">
        <f t="shared" si="4"/>
        <v>43.75</v>
      </c>
      <c r="Y151" s="11">
        <f t="shared" si="4"/>
        <v>62.5</v>
      </c>
      <c r="Z151" s="11"/>
      <c r="AA151" s="11"/>
    </row>
    <row r="152" spans="2:27" x14ac:dyDescent="0.25">
      <c r="C152" s="11"/>
      <c r="D152" s="11"/>
      <c r="E152" s="11"/>
      <c r="F152" s="11"/>
      <c r="G152" s="11"/>
      <c r="H152" s="11"/>
      <c r="I152" s="11"/>
      <c r="J152" s="14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V152" s="11"/>
      <c r="W152" s="14"/>
      <c r="X152" s="14"/>
      <c r="Y152" s="14"/>
      <c r="Z152" s="11"/>
      <c r="AA152" s="11"/>
    </row>
    <row r="153" spans="2:27" x14ac:dyDescent="0.25">
      <c r="B153" s="140" t="s">
        <v>305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33"/>
      <c r="X153" s="33"/>
      <c r="Y153" s="33"/>
      <c r="Z153" s="11"/>
      <c r="AA153" s="11"/>
    </row>
    <row r="154" spans="2:27" x14ac:dyDescent="0.25">
      <c r="B154" t="s">
        <v>306</v>
      </c>
      <c r="C154" s="11">
        <v>25</v>
      </c>
      <c r="D154" s="11">
        <v>100</v>
      </c>
      <c r="E154" s="11">
        <v>25</v>
      </c>
      <c r="F154" s="11">
        <v>50</v>
      </c>
      <c r="G154" s="11">
        <v>50</v>
      </c>
      <c r="H154" s="11">
        <v>100</v>
      </c>
      <c r="I154" s="11">
        <v>50</v>
      </c>
      <c r="J154" s="11">
        <v>50</v>
      </c>
      <c r="K154" s="11">
        <v>50</v>
      </c>
      <c r="L154" s="11">
        <v>50</v>
      </c>
      <c r="M154" s="11">
        <v>50</v>
      </c>
      <c r="N154" s="11">
        <v>25</v>
      </c>
      <c r="O154" s="14">
        <v>25</v>
      </c>
      <c r="P154" s="11">
        <v>50</v>
      </c>
      <c r="Q154" s="11">
        <v>25</v>
      </c>
      <c r="R154" s="11">
        <v>100</v>
      </c>
      <c r="S154" s="11">
        <v>50</v>
      </c>
      <c r="T154" s="11">
        <v>50</v>
      </c>
      <c r="U154" s="14">
        <v>50</v>
      </c>
      <c r="V154" s="11">
        <v>50</v>
      </c>
      <c r="W154" s="14">
        <v>50</v>
      </c>
      <c r="X154" s="14">
        <v>50</v>
      </c>
      <c r="Y154" s="28">
        <v>50</v>
      </c>
      <c r="Z154" s="11"/>
      <c r="AA154" s="11"/>
    </row>
    <row r="155" spans="2:27" x14ac:dyDescent="0.25">
      <c r="B155" t="s">
        <v>307</v>
      </c>
      <c r="C155" s="11">
        <v>25</v>
      </c>
      <c r="D155" s="11">
        <v>50</v>
      </c>
      <c r="E155" s="11">
        <v>50</v>
      </c>
      <c r="F155" s="11">
        <v>50</v>
      </c>
      <c r="G155" s="11">
        <v>50</v>
      </c>
      <c r="H155" s="11">
        <v>50</v>
      </c>
      <c r="I155" s="11">
        <v>25</v>
      </c>
      <c r="J155" s="11">
        <v>25</v>
      </c>
      <c r="K155" s="11">
        <v>100</v>
      </c>
      <c r="L155" s="11">
        <v>50</v>
      </c>
      <c r="M155" s="11">
        <v>25</v>
      </c>
      <c r="N155" s="11">
        <v>50</v>
      </c>
      <c r="O155" s="14">
        <v>50</v>
      </c>
      <c r="P155" s="11">
        <v>50</v>
      </c>
      <c r="Q155" s="11">
        <v>25</v>
      </c>
      <c r="R155" s="11">
        <v>100</v>
      </c>
      <c r="S155" s="11">
        <v>50</v>
      </c>
      <c r="T155" s="11">
        <v>0</v>
      </c>
      <c r="U155" s="14">
        <v>25</v>
      </c>
      <c r="V155" s="11">
        <v>50</v>
      </c>
      <c r="W155" s="14">
        <v>50</v>
      </c>
      <c r="X155" s="14">
        <v>50</v>
      </c>
      <c r="Y155" s="28">
        <v>50</v>
      </c>
      <c r="Z155" s="11"/>
      <c r="AA155" s="11"/>
    </row>
    <row r="156" spans="2:27" x14ac:dyDescent="0.25">
      <c r="B156" t="s">
        <v>308</v>
      </c>
      <c r="C156" s="11">
        <v>25</v>
      </c>
      <c r="D156" s="11">
        <v>100</v>
      </c>
      <c r="E156" s="11">
        <v>25</v>
      </c>
      <c r="F156" s="11">
        <v>100</v>
      </c>
      <c r="G156" s="11">
        <v>100</v>
      </c>
      <c r="H156" s="11">
        <v>100</v>
      </c>
      <c r="I156" s="11">
        <v>50</v>
      </c>
      <c r="J156" s="11">
        <v>50</v>
      </c>
      <c r="K156" s="11">
        <v>50</v>
      </c>
      <c r="L156" s="11">
        <v>100</v>
      </c>
      <c r="M156" s="11">
        <v>50</v>
      </c>
      <c r="N156" s="11">
        <v>50</v>
      </c>
      <c r="O156" s="14">
        <v>25</v>
      </c>
      <c r="P156" s="11">
        <v>50</v>
      </c>
      <c r="Q156" s="11">
        <v>50</v>
      </c>
      <c r="R156" s="11">
        <v>50</v>
      </c>
      <c r="S156" s="11">
        <v>25</v>
      </c>
      <c r="T156" s="11">
        <v>50</v>
      </c>
      <c r="U156" s="14">
        <v>25</v>
      </c>
      <c r="V156" s="11">
        <v>50</v>
      </c>
      <c r="W156" s="14">
        <v>50</v>
      </c>
      <c r="X156" s="14">
        <v>25</v>
      </c>
      <c r="Y156" s="28">
        <v>100</v>
      </c>
      <c r="Z156" s="11"/>
      <c r="AA156" s="11"/>
    </row>
    <row r="157" spans="2:27" x14ac:dyDescent="0.25">
      <c r="B157" t="s">
        <v>309</v>
      </c>
      <c r="C157" s="11">
        <v>50</v>
      </c>
      <c r="D157" s="11">
        <v>50</v>
      </c>
      <c r="E157" s="11">
        <v>50</v>
      </c>
      <c r="F157" s="11">
        <v>50</v>
      </c>
      <c r="G157" s="11">
        <v>50</v>
      </c>
      <c r="H157" s="11">
        <v>50</v>
      </c>
      <c r="I157" s="11">
        <v>50</v>
      </c>
      <c r="J157" s="11">
        <v>50</v>
      </c>
      <c r="K157" s="11">
        <v>50</v>
      </c>
      <c r="L157" s="11">
        <v>50</v>
      </c>
      <c r="M157" s="11">
        <v>50</v>
      </c>
      <c r="N157" s="11">
        <v>50</v>
      </c>
      <c r="O157" s="14">
        <v>50</v>
      </c>
      <c r="P157" s="11">
        <v>50</v>
      </c>
      <c r="Q157" s="11">
        <v>50</v>
      </c>
      <c r="R157" s="11">
        <v>50</v>
      </c>
      <c r="S157" s="11">
        <v>50</v>
      </c>
      <c r="T157" s="11">
        <v>25</v>
      </c>
      <c r="U157" s="14">
        <v>50</v>
      </c>
      <c r="V157" s="11">
        <v>50</v>
      </c>
      <c r="W157" s="14">
        <v>25</v>
      </c>
      <c r="X157" s="14">
        <v>50</v>
      </c>
      <c r="Y157" s="28">
        <v>50</v>
      </c>
      <c r="Z157" s="11"/>
      <c r="AA157" s="11"/>
    </row>
    <row r="158" spans="2:27" x14ac:dyDescent="0.25">
      <c r="C158" s="11"/>
      <c r="D158" s="11"/>
      <c r="E158" s="11"/>
      <c r="F158" s="11"/>
      <c r="G158" s="11"/>
      <c r="H158" s="11"/>
      <c r="I158" s="11"/>
      <c r="J158" s="14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2:27" x14ac:dyDescent="0.25">
      <c r="B159" s="140" t="s">
        <v>310</v>
      </c>
      <c r="C159" s="42"/>
      <c r="D159" s="42"/>
      <c r="E159" s="42"/>
      <c r="F159" s="11"/>
      <c r="G159" s="11"/>
      <c r="H159" s="11"/>
      <c r="I159" s="11"/>
      <c r="J159" s="14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2:27" ht="14.25" customHeight="1" x14ac:dyDescent="0.25">
      <c r="B160" s="8" t="s">
        <v>226</v>
      </c>
      <c r="C160" s="129" t="s">
        <v>219</v>
      </c>
      <c r="D160" s="130" t="s">
        <v>211</v>
      </c>
      <c r="E160" s="130" t="s">
        <v>216</v>
      </c>
      <c r="F160" s="130"/>
      <c r="G160" s="130"/>
      <c r="H160" s="11"/>
      <c r="I160" s="11"/>
      <c r="J160" s="14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2:27" x14ac:dyDescent="0.25">
      <c r="B161" s="8"/>
      <c r="C161" s="132">
        <v>100</v>
      </c>
      <c r="D161" s="132">
        <v>50</v>
      </c>
      <c r="E161" s="132">
        <v>0</v>
      </c>
      <c r="F161" s="132"/>
      <c r="G161" s="132"/>
      <c r="H161" s="11"/>
      <c r="I161" s="11"/>
      <c r="J161" s="14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2:27" ht="14.25" customHeight="1" x14ac:dyDescent="0.25">
      <c r="B162" s="8" t="s">
        <v>227</v>
      </c>
      <c r="C162" s="129" t="s">
        <v>204</v>
      </c>
      <c r="D162" s="130" t="s">
        <v>7</v>
      </c>
      <c r="E162" s="130"/>
      <c r="F162" s="130"/>
      <c r="G162" s="130"/>
    </row>
    <row r="163" spans="2:27" ht="14.25" customHeight="1" x14ac:dyDescent="0.25">
      <c r="B163" s="8"/>
      <c r="C163" s="132">
        <v>100</v>
      </c>
      <c r="D163" s="132">
        <v>0</v>
      </c>
      <c r="E163" s="132"/>
      <c r="F163" s="132"/>
      <c r="G163" s="132"/>
    </row>
    <row r="164" spans="2:27" ht="14.25" customHeight="1" x14ac:dyDescent="0.25">
      <c r="B164" s="8" t="s">
        <v>228</v>
      </c>
      <c r="C164" s="129" t="s">
        <v>229</v>
      </c>
      <c r="D164" s="130" t="s">
        <v>211</v>
      </c>
      <c r="E164" s="130" t="s">
        <v>311</v>
      </c>
      <c r="F164" s="130"/>
      <c r="G164" s="130"/>
    </row>
    <row r="165" spans="2:27" ht="14.25" customHeight="1" x14ac:dyDescent="0.25">
      <c r="B165" s="8"/>
      <c r="C165" s="132">
        <v>100</v>
      </c>
      <c r="D165" s="132">
        <v>50</v>
      </c>
      <c r="E165" s="132">
        <v>0</v>
      </c>
      <c r="F165" s="132"/>
      <c r="G165" s="132"/>
    </row>
    <row r="166" spans="2:27" x14ac:dyDescent="0.25">
      <c r="B166" s="8" t="s">
        <v>230</v>
      </c>
      <c r="C166" s="129" t="s">
        <v>286</v>
      </c>
      <c r="D166" s="130" t="s">
        <v>211</v>
      </c>
      <c r="E166" s="130" t="s">
        <v>285</v>
      </c>
      <c r="F166" s="130"/>
      <c r="G166" s="130"/>
    </row>
    <row r="167" spans="2:27" x14ac:dyDescent="0.25">
      <c r="B167" s="8"/>
      <c r="C167" s="132">
        <v>100</v>
      </c>
      <c r="D167" s="132">
        <v>50</v>
      </c>
      <c r="E167" s="132">
        <v>0</v>
      </c>
      <c r="F167" s="132"/>
      <c r="G167" s="132"/>
    </row>
    <row r="168" spans="2:27" x14ac:dyDescent="0.25">
      <c r="B168" s="8" t="s">
        <v>231</v>
      </c>
      <c r="C168" s="129" t="s">
        <v>216</v>
      </c>
      <c r="D168" s="130" t="s">
        <v>232</v>
      </c>
      <c r="E168" s="130" t="s">
        <v>219</v>
      </c>
    </row>
    <row r="169" spans="2:27" x14ac:dyDescent="0.25">
      <c r="B169" s="8"/>
      <c r="C169" s="132">
        <v>100</v>
      </c>
      <c r="D169" s="132">
        <v>50</v>
      </c>
      <c r="E169" s="132">
        <v>0</v>
      </c>
    </row>
    <row r="170" spans="2:27" x14ac:dyDescent="0.25">
      <c r="B170" s="8" t="s">
        <v>233</v>
      </c>
      <c r="C170" s="129" t="s">
        <v>286</v>
      </c>
      <c r="D170" s="130" t="s">
        <v>211</v>
      </c>
      <c r="E170" s="130" t="s">
        <v>285</v>
      </c>
    </row>
    <row r="171" spans="2:27" x14ac:dyDescent="0.25">
      <c r="B171" s="8"/>
      <c r="C171" s="132">
        <v>100</v>
      </c>
      <c r="D171" s="132">
        <v>50</v>
      </c>
      <c r="E171" s="132">
        <v>0</v>
      </c>
    </row>
    <row r="172" spans="2:27" ht="14.25" customHeight="1" x14ac:dyDescent="0.25">
      <c r="B172" s="8" t="s">
        <v>234</v>
      </c>
      <c r="C172" s="129" t="s">
        <v>312</v>
      </c>
      <c r="D172" s="130" t="s">
        <v>287</v>
      </c>
      <c r="E172" s="130" t="s">
        <v>284</v>
      </c>
    </row>
    <row r="173" spans="2:27" ht="14.25" customHeight="1" x14ac:dyDescent="0.25">
      <c r="B173" s="8"/>
      <c r="C173" s="132">
        <v>100</v>
      </c>
      <c r="D173" s="132">
        <v>50</v>
      </c>
      <c r="E173" s="132">
        <v>0</v>
      </c>
    </row>
    <row r="174" spans="2:27" x14ac:dyDescent="0.25">
      <c r="B174" s="8" t="s">
        <v>235</v>
      </c>
      <c r="C174" s="129" t="s">
        <v>258</v>
      </c>
      <c r="D174" s="130" t="s">
        <v>211</v>
      </c>
      <c r="E174" s="130" t="s">
        <v>236</v>
      </c>
    </row>
    <row r="175" spans="2:27" x14ac:dyDescent="0.25">
      <c r="B175" s="8"/>
      <c r="C175" s="132">
        <v>100</v>
      </c>
      <c r="D175" s="132">
        <v>50</v>
      </c>
      <c r="E175" s="132">
        <v>0</v>
      </c>
    </row>
  </sheetData>
  <sheetProtection selectLockedCells="1"/>
  <mergeCells count="2">
    <mergeCell ref="C56:H56"/>
    <mergeCell ref="C88:H88"/>
  </mergeCells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5"/>
  <sheetViews>
    <sheetView workbookViewId="0">
      <selection activeCell="A8" sqref="A8"/>
    </sheetView>
  </sheetViews>
  <sheetFormatPr defaultRowHeight="13.2" x14ac:dyDescent="0.25"/>
  <cols>
    <col min="1" max="1" width="40" bestFit="1" customWidth="1"/>
    <col min="2" max="2" width="8.44140625" bestFit="1" customWidth="1"/>
    <col min="3" max="3" width="7.77734375" bestFit="1" customWidth="1"/>
    <col min="4" max="4" width="6.21875" bestFit="1" customWidth="1"/>
    <col min="5" max="5" width="7.77734375" bestFit="1" customWidth="1"/>
    <col min="6" max="6" width="4.77734375" bestFit="1" customWidth="1"/>
    <col min="7" max="7" width="5.44140625" bestFit="1" customWidth="1"/>
    <col min="8" max="53" width="4.77734375" bestFit="1" customWidth="1"/>
  </cols>
  <sheetData>
    <row r="1" spans="1:53" x14ac:dyDescent="0.25">
      <c r="A1" s="750" t="s">
        <v>3263</v>
      </c>
    </row>
    <row r="2" spans="1:53" x14ac:dyDescent="0.25">
      <c r="C2" s="446" t="s">
        <v>3270</v>
      </c>
      <c r="D2" s="446" t="s">
        <v>3264</v>
      </c>
      <c r="E2" s="446" t="s">
        <v>3265</v>
      </c>
      <c r="F2" s="446" t="s">
        <v>3266</v>
      </c>
      <c r="G2" s="446" t="s">
        <v>3267</v>
      </c>
    </row>
    <row r="3" spans="1:53" x14ac:dyDescent="0.25">
      <c r="A3" s="751" t="s">
        <v>3272</v>
      </c>
      <c r="C3" s="674">
        <v>52</v>
      </c>
      <c r="D3" s="674">
        <v>12</v>
      </c>
      <c r="E3" s="674">
        <v>4</v>
      </c>
      <c r="F3" s="674">
        <v>2</v>
      </c>
      <c r="G3" s="674">
        <v>1</v>
      </c>
    </row>
    <row r="4" spans="1:53" x14ac:dyDescent="0.25">
      <c r="A4" s="750" t="s">
        <v>3923</v>
      </c>
    </row>
    <row r="5" spans="1:53" x14ac:dyDescent="0.25">
      <c r="A5" t="s">
        <v>3268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</row>
    <row r="6" spans="1:53" x14ac:dyDescent="0.25">
      <c r="A6" s="30" t="s">
        <v>3271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53" x14ac:dyDescent="0.25">
      <c r="A7" s="30" t="s">
        <v>3272</v>
      </c>
      <c r="B7" s="30" t="s">
        <v>3275</v>
      </c>
      <c r="C7" s="30" t="s">
        <v>3276</v>
      </c>
      <c r="D7" s="30" t="s">
        <v>3277</v>
      </c>
      <c r="E7" s="30" t="s">
        <v>3278</v>
      </c>
    </row>
    <row r="8" spans="1:53" x14ac:dyDescent="0.25">
      <c r="A8" s="30" t="s">
        <v>3274</v>
      </c>
      <c r="B8" s="30" t="s">
        <v>3279</v>
      </c>
      <c r="C8" s="30" t="s">
        <v>3280</v>
      </c>
    </row>
    <row r="9" spans="1:53" x14ac:dyDescent="0.25">
      <c r="A9" s="30" t="s">
        <v>3273</v>
      </c>
      <c r="B9" s="30" t="s">
        <v>3273</v>
      </c>
    </row>
    <row r="10" spans="1:53" x14ac:dyDescent="0.25">
      <c r="A10" s="30"/>
    </row>
    <row r="12" spans="1:53" x14ac:dyDescent="0.25">
      <c r="A12" s="53" t="s">
        <v>3269</v>
      </c>
    </row>
    <row r="13" spans="1:53" x14ac:dyDescent="0.25">
      <c r="B13" s="444" t="str">
        <f>IF(IF($A$3=$A$5,B5,IF($A$3=$A$6,B6,IF($A$3=$A$7,B7,IF($A$3=$A$8,B8,IF($A$3=$A$9,B9,"")))))=0,"",IF($A$3=$A$5,B5,IF($A$3=$A$6,B6,IF($A$3=$A$7,B7,IF($A$3=$A$8,B8,IF($A$3=$A$9,B9,""))))))</f>
        <v>Q1</v>
      </c>
      <c r="C13" s="444" t="str">
        <f t="shared" ref="C13:BA13" si="0">IF(IF($A$3=$A$5,C5,IF($A$3=$A$6,C6,IF($A$3=$A$7,C7,IF($A$3=$A$8,C8,IF($A$3=$A$9,C9,"")))))=0,"",IF($A$3=$A$5,C5,IF($A$3=$A$6,C6,IF($A$3=$A$7,C7,IF($A$3=$A$8,C8,IF($A$3=$A$9,C9,""))))))</f>
        <v>Q2</v>
      </c>
      <c r="D13" s="444" t="str">
        <f t="shared" si="0"/>
        <v>Q3</v>
      </c>
      <c r="E13" s="444" t="str">
        <f t="shared" si="0"/>
        <v>Q4</v>
      </c>
      <c r="F13" s="444" t="str">
        <f t="shared" si="0"/>
        <v/>
      </c>
      <c r="G13" s="444" t="str">
        <f t="shared" si="0"/>
        <v/>
      </c>
      <c r="H13" s="444" t="str">
        <f t="shared" si="0"/>
        <v/>
      </c>
      <c r="I13" s="444" t="str">
        <f t="shared" si="0"/>
        <v/>
      </c>
      <c r="J13" s="444" t="str">
        <f t="shared" si="0"/>
        <v/>
      </c>
      <c r="K13" s="444" t="str">
        <f t="shared" si="0"/>
        <v/>
      </c>
      <c r="L13" s="444" t="str">
        <f t="shared" si="0"/>
        <v/>
      </c>
      <c r="M13" s="444" t="str">
        <f t="shared" si="0"/>
        <v/>
      </c>
      <c r="N13" s="444" t="str">
        <f t="shared" si="0"/>
        <v/>
      </c>
      <c r="O13" s="444" t="str">
        <f t="shared" si="0"/>
        <v/>
      </c>
      <c r="P13" s="444" t="str">
        <f t="shared" si="0"/>
        <v/>
      </c>
      <c r="Q13" s="444" t="str">
        <f t="shared" si="0"/>
        <v/>
      </c>
      <c r="R13" s="444" t="str">
        <f t="shared" si="0"/>
        <v/>
      </c>
      <c r="S13" s="444" t="str">
        <f t="shared" si="0"/>
        <v/>
      </c>
      <c r="T13" s="444" t="str">
        <f t="shared" si="0"/>
        <v/>
      </c>
      <c r="U13" s="444" t="str">
        <f t="shared" si="0"/>
        <v/>
      </c>
      <c r="V13" s="444" t="str">
        <f t="shared" si="0"/>
        <v/>
      </c>
      <c r="W13" s="444" t="str">
        <f t="shared" si="0"/>
        <v/>
      </c>
      <c r="X13" s="444" t="str">
        <f t="shared" si="0"/>
        <v/>
      </c>
      <c r="Y13" s="444" t="str">
        <f t="shared" si="0"/>
        <v/>
      </c>
      <c r="Z13" s="444" t="str">
        <f t="shared" si="0"/>
        <v/>
      </c>
      <c r="AA13" s="444" t="str">
        <f t="shared" si="0"/>
        <v/>
      </c>
      <c r="AB13" s="444" t="str">
        <f t="shared" si="0"/>
        <v/>
      </c>
      <c r="AC13" s="444" t="str">
        <f t="shared" si="0"/>
        <v/>
      </c>
      <c r="AD13" s="444" t="str">
        <f t="shared" si="0"/>
        <v/>
      </c>
      <c r="AE13" s="444" t="str">
        <f t="shared" si="0"/>
        <v/>
      </c>
      <c r="AF13" s="444" t="str">
        <f t="shared" si="0"/>
        <v/>
      </c>
      <c r="AG13" s="444" t="str">
        <f t="shared" si="0"/>
        <v/>
      </c>
      <c r="AH13" s="444" t="str">
        <f t="shared" si="0"/>
        <v/>
      </c>
      <c r="AI13" s="444" t="str">
        <f t="shared" si="0"/>
        <v/>
      </c>
      <c r="AJ13" s="444" t="str">
        <f t="shared" si="0"/>
        <v/>
      </c>
      <c r="AK13" s="444" t="str">
        <f t="shared" si="0"/>
        <v/>
      </c>
      <c r="AL13" s="444" t="str">
        <f t="shared" si="0"/>
        <v/>
      </c>
      <c r="AM13" s="444" t="str">
        <f t="shared" si="0"/>
        <v/>
      </c>
      <c r="AN13" s="444" t="str">
        <f t="shared" si="0"/>
        <v/>
      </c>
      <c r="AO13" s="444" t="str">
        <f t="shared" si="0"/>
        <v/>
      </c>
      <c r="AP13" s="444" t="str">
        <f t="shared" si="0"/>
        <v/>
      </c>
      <c r="AQ13" s="444" t="str">
        <f t="shared" si="0"/>
        <v/>
      </c>
      <c r="AR13" s="444" t="str">
        <f t="shared" si="0"/>
        <v/>
      </c>
      <c r="AS13" s="444" t="str">
        <f t="shared" si="0"/>
        <v/>
      </c>
      <c r="AT13" s="444" t="str">
        <f t="shared" si="0"/>
        <v/>
      </c>
      <c r="AU13" s="444" t="str">
        <f t="shared" si="0"/>
        <v/>
      </c>
      <c r="AV13" s="444" t="str">
        <f t="shared" si="0"/>
        <v/>
      </c>
      <c r="AW13" s="444" t="str">
        <f t="shared" si="0"/>
        <v/>
      </c>
      <c r="AX13" s="444" t="str">
        <f t="shared" si="0"/>
        <v/>
      </c>
      <c r="AY13" s="444" t="str">
        <f t="shared" si="0"/>
        <v/>
      </c>
      <c r="AZ13" s="444" t="str">
        <f t="shared" si="0"/>
        <v/>
      </c>
      <c r="BA13" s="444" t="str">
        <f t="shared" si="0"/>
        <v/>
      </c>
    </row>
    <row r="14" spans="1:53" x14ac:dyDescent="0.25">
      <c r="A14" t="s">
        <v>9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39"/>
      <c r="AE14" s="639"/>
      <c r="AF14" s="639"/>
      <c r="AG14" s="639"/>
      <c r="AH14" s="639"/>
      <c r="AI14" s="639"/>
      <c r="AJ14" s="639"/>
      <c r="AK14" s="639"/>
      <c r="AL14" s="639"/>
      <c r="AM14" s="639"/>
      <c r="AN14" s="639"/>
      <c r="AO14" s="639"/>
      <c r="AP14" s="639"/>
      <c r="AQ14" s="639"/>
      <c r="AR14" s="639"/>
      <c r="AS14" s="639"/>
      <c r="AT14" s="639"/>
      <c r="AU14" s="639"/>
      <c r="AV14" s="639"/>
      <c r="AW14" s="639"/>
      <c r="AX14" s="639"/>
      <c r="AY14" s="639"/>
      <c r="AZ14" s="639"/>
      <c r="BA14" s="639"/>
    </row>
    <row r="15" spans="1:53" x14ac:dyDescent="0.25">
      <c r="A15" t="s">
        <v>10</v>
      </c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  <c r="M15" s="639"/>
      <c r="N15" s="639"/>
      <c r="O15" s="639"/>
      <c r="P15" s="639"/>
      <c r="Q15" s="639"/>
      <c r="R15" s="639"/>
      <c r="S15" s="639"/>
      <c r="T15" s="639"/>
      <c r="U15" s="639"/>
      <c r="V15" s="639"/>
      <c r="W15" s="639"/>
      <c r="X15" s="639"/>
      <c r="Y15" s="639"/>
      <c r="Z15" s="639"/>
      <c r="AA15" s="639"/>
      <c r="AB15" s="639"/>
      <c r="AC15" s="639"/>
      <c r="AD15" s="639"/>
      <c r="AE15" s="639"/>
      <c r="AF15" s="639"/>
      <c r="AG15" s="639"/>
      <c r="AH15" s="639"/>
      <c r="AI15" s="639"/>
      <c r="AJ15" s="639"/>
      <c r="AK15" s="639"/>
      <c r="AL15" s="639"/>
      <c r="AM15" s="639"/>
      <c r="AN15" s="639"/>
      <c r="AO15" s="639"/>
      <c r="AP15" s="639"/>
      <c r="AQ15" s="639"/>
      <c r="AR15" s="639"/>
      <c r="AS15" s="639"/>
      <c r="AT15" s="639"/>
      <c r="AU15" s="639"/>
      <c r="AV15" s="639"/>
      <c r="AW15" s="639"/>
      <c r="AX15" s="639"/>
      <c r="AY15" s="639"/>
      <c r="AZ15" s="639"/>
      <c r="BA15" s="639"/>
    </row>
    <row r="16" spans="1:53" x14ac:dyDescent="0.25">
      <c r="A16" t="s">
        <v>3080</v>
      </c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  <c r="M16" s="639"/>
      <c r="N16" s="639"/>
      <c r="O16" s="639"/>
      <c r="P16" s="639"/>
      <c r="Q16" s="639"/>
      <c r="R16" s="639"/>
      <c r="S16" s="639"/>
      <c r="T16" s="639"/>
      <c r="U16" s="639"/>
      <c r="V16" s="639"/>
      <c r="W16" s="639"/>
      <c r="X16" s="639"/>
      <c r="Y16" s="639"/>
      <c r="Z16" s="639"/>
      <c r="AA16" s="639"/>
      <c r="AB16" s="639"/>
      <c r="AC16" s="639"/>
      <c r="AD16" s="639"/>
      <c r="AE16" s="639"/>
      <c r="AF16" s="639"/>
      <c r="AG16" s="639"/>
      <c r="AH16" s="639"/>
      <c r="AI16" s="639"/>
      <c r="AJ16" s="639"/>
      <c r="AK16" s="639"/>
      <c r="AL16" s="639"/>
      <c r="AM16" s="639"/>
      <c r="AN16" s="639"/>
      <c r="AO16" s="639"/>
      <c r="AP16" s="639"/>
      <c r="AQ16" s="639"/>
      <c r="AR16" s="639"/>
      <c r="AS16" s="639"/>
      <c r="AT16" s="639"/>
      <c r="AU16" s="639"/>
      <c r="AV16" s="639"/>
      <c r="AW16" s="639"/>
      <c r="AX16" s="639"/>
      <c r="AY16" s="639"/>
      <c r="AZ16" s="639"/>
      <c r="BA16" s="639"/>
    </row>
    <row r="17" spans="1:53" x14ac:dyDescent="0.25">
      <c r="A17" t="s">
        <v>3095</v>
      </c>
      <c r="B17" s="639"/>
      <c r="C17" s="639"/>
      <c r="D17" s="639"/>
      <c r="E17" s="639"/>
      <c r="F17" s="639"/>
      <c r="G17" s="639"/>
      <c r="H17" s="639"/>
      <c r="I17" s="639"/>
      <c r="J17" s="639"/>
      <c r="K17" s="639"/>
      <c r="L17" s="639"/>
      <c r="M17" s="639"/>
      <c r="N17" s="639"/>
      <c r="O17" s="639"/>
      <c r="P17" s="639"/>
      <c r="Q17" s="639"/>
      <c r="R17" s="639"/>
      <c r="S17" s="639"/>
      <c r="T17" s="639"/>
      <c r="U17" s="639"/>
      <c r="V17" s="639"/>
      <c r="W17" s="639"/>
      <c r="X17" s="639"/>
      <c r="Y17" s="639"/>
      <c r="Z17" s="639"/>
      <c r="AA17" s="639"/>
      <c r="AB17" s="639"/>
      <c r="AC17" s="639"/>
      <c r="AD17" s="639"/>
      <c r="AE17" s="639"/>
      <c r="AF17" s="639"/>
      <c r="AG17" s="639"/>
      <c r="AH17" s="639"/>
      <c r="AI17" s="639"/>
      <c r="AJ17" s="639"/>
      <c r="AK17" s="639"/>
      <c r="AL17" s="639"/>
      <c r="AM17" s="639"/>
      <c r="AN17" s="639"/>
      <c r="AO17" s="639"/>
      <c r="AP17" s="639"/>
      <c r="AQ17" s="639"/>
      <c r="AR17" s="639"/>
      <c r="AS17" s="639"/>
      <c r="AT17" s="639"/>
      <c r="AU17" s="639"/>
      <c r="AV17" s="639"/>
      <c r="AW17" s="639"/>
      <c r="AX17" s="639"/>
      <c r="AY17" s="639"/>
      <c r="AZ17" s="639"/>
      <c r="BA17" s="639"/>
    </row>
    <row r="18" spans="1:53" x14ac:dyDescent="0.25">
      <c r="A18" t="s">
        <v>13</v>
      </c>
      <c r="B18" s="639"/>
      <c r="C18" s="639"/>
      <c r="D18" s="639"/>
      <c r="E18" s="639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39"/>
      <c r="Q18" s="639"/>
      <c r="R18" s="639"/>
      <c r="S18" s="639"/>
      <c r="T18" s="639"/>
      <c r="U18" s="639"/>
      <c r="V18" s="639"/>
      <c r="W18" s="639"/>
      <c r="X18" s="639"/>
      <c r="Y18" s="639"/>
      <c r="Z18" s="639"/>
      <c r="AA18" s="639"/>
      <c r="AB18" s="639"/>
      <c r="AC18" s="639"/>
      <c r="AD18" s="639"/>
      <c r="AE18" s="639"/>
      <c r="AF18" s="639"/>
      <c r="AG18" s="639"/>
      <c r="AH18" s="639"/>
      <c r="AI18" s="639"/>
      <c r="AJ18" s="639"/>
      <c r="AK18" s="639"/>
      <c r="AL18" s="639"/>
      <c r="AM18" s="639"/>
      <c r="AN18" s="639"/>
      <c r="AO18" s="639"/>
      <c r="AP18" s="639"/>
      <c r="AQ18" s="639"/>
      <c r="AR18" s="639"/>
      <c r="AS18" s="639"/>
      <c r="AT18" s="639"/>
      <c r="AU18" s="639"/>
      <c r="AV18" s="639"/>
      <c r="AW18" s="639"/>
      <c r="AX18" s="639"/>
      <c r="AY18" s="639"/>
      <c r="AZ18" s="639"/>
      <c r="BA18" s="639"/>
    </row>
    <row r="19" spans="1:53" x14ac:dyDescent="0.25">
      <c r="A19" t="s">
        <v>14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639"/>
      <c r="AB19" s="639"/>
      <c r="AC19" s="639"/>
      <c r="AD19" s="639"/>
      <c r="AE19" s="639"/>
      <c r="AF19" s="639"/>
      <c r="AG19" s="639"/>
      <c r="AH19" s="639"/>
      <c r="AI19" s="639"/>
      <c r="AJ19" s="639"/>
      <c r="AK19" s="639"/>
      <c r="AL19" s="639"/>
      <c r="AM19" s="639"/>
      <c r="AN19" s="639"/>
      <c r="AO19" s="639"/>
      <c r="AP19" s="639"/>
      <c r="AQ19" s="639"/>
      <c r="AR19" s="639"/>
      <c r="AS19" s="639"/>
      <c r="AT19" s="639"/>
      <c r="AU19" s="639"/>
      <c r="AV19" s="639"/>
      <c r="AW19" s="639"/>
      <c r="AX19" s="639"/>
      <c r="AY19" s="639"/>
      <c r="AZ19" s="639"/>
      <c r="BA19" s="639"/>
    </row>
    <row r="20" spans="1:53" x14ac:dyDescent="0.25">
      <c r="A20" t="s">
        <v>3094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39"/>
      <c r="AB20" s="639"/>
      <c r="AC20" s="639"/>
      <c r="AD20" s="639"/>
      <c r="AE20" s="639"/>
      <c r="AF20" s="639"/>
      <c r="AG20" s="639"/>
      <c r="AH20" s="639"/>
      <c r="AI20" s="639"/>
      <c r="AJ20" s="639"/>
      <c r="AK20" s="639"/>
      <c r="AL20" s="639"/>
      <c r="AM20" s="639"/>
      <c r="AN20" s="639"/>
      <c r="AO20" s="639"/>
      <c r="AP20" s="639"/>
      <c r="AQ20" s="639"/>
      <c r="AR20" s="639"/>
      <c r="AS20" s="639"/>
      <c r="AT20" s="639"/>
      <c r="AU20" s="639"/>
      <c r="AV20" s="639"/>
      <c r="AW20" s="639"/>
      <c r="AX20" s="639"/>
      <c r="AY20" s="639"/>
      <c r="AZ20" s="639"/>
      <c r="BA20" s="639"/>
    </row>
    <row r="21" spans="1:53" x14ac:dyDescent="0.25">
      <c r="A21" t="s">
        <v>1773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39"/>
      <c r="L21" s="639"/>
      <c r="M21" s="639"/>
      <c r="N21" s="639"/>
      <c r="O21" s="639"/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639"/>
      <c r="AA21" s="639"/>
      <c r="AB21" s="639"/>
      <c r="AC21" s="639"/>
      <c r="AD21" s="639"/>
      <c r="AE21" s="639"/>
      <c r="AF21" s="639"/>
      <c r="AG21" s="639"/>
      <c r="AH21" s="639"/>
      <c r="AI21" s="639"/>
      <c r="AJ21" s="639"/>
      <c r="AK21" s="639"/>
      <c r="AL21" s="639"/>
      <c r="AM21" s="639"/>
      <c r="AN21" s="639"/>
      <c r="AO21" s="639"/>
      <c r="AP21" s="639"/>
      <c r="AQ21" s="639"/>
      <c r="AR21" s="639"/>
      <c r="AS21" s="639"/>
      <c r="AT21" s="639"/>
      <c r="AU21" s="639"/>
      <c r="AV21" s="639"/>
      <c r="AW21" s="639"/>
      <c r="AX21" s="639"/>
      <c r="AY21" s="639"/>
      <c r="AZ21" s="639"/>
      <c r="BA21" s="639"/>
    </row>
    <row r="22" spans="1:53" x14ac:dyDescent="0.25">
      <c r="A22" t="s">
        <v>15</v>
      </c>
      <c r="B22" s="639"/>
      <c r="C22" s="639"/>
      <c r="D22" s="639"/>
      <c r="E22" s="639"/>
      <c r="F22" s="639"/>
      <c r="G22" s="639"/>
      <c r="H22" s="639"/>
      <c r="I22" s="639"/>
      <c r="J22" s="639"/>
      <c r="K22" s="639"/>
      <c r="L22" s="639"/>
      <c r="M22" s="639"/>
      <c r="N22" s="639"/>
      <c r="O22" s="639"/>
      <c r="P22" s="639"/>
      <c r="Q22" s="639"/>
      <c r="R22" s="639"/>
      <c r="S22" s="639"/>
      <c r="T22" s="639"/>
      <c r="U22" s="639"/>
      <c r="V22" s="639"/>
      <c r="W22" s="639"/>
      <c r="X22" s="639"/>
      <c r="Y22" s="639"/>
      <c r="Z22" s="639"/>
      <c r="AA22" s="639"/>
      <c r="AB22" s="639"/>
      <c r="AC22" s="639"/>
      <c r="AD22" s="639"/>
      <c r="AE22" s="639"/>
      <c r="AF22" s="639"/>
      <c r="AG22" s="639"/>
      <c r="AH22" s="639"/>
      <c r="AI22" s="639"/>
      <c r="AJ22" s="639"/>
      <c r="AK22" s="639"/>
      <c r="AL22" s="639"/>
      <c r="AM22" s="639"/>
      <c r="AN22" s="639"/>
      <c r="AO22" s="639"/>
      <c r="AP22" s="639"/>
      <c r="AQ22" s="639"/>
      <c r="AR22" s="639"/>
      <c r="AS22" s="639"/>
      <c r="AT22" s="639"/>
      <c r="AU22" s="639"/>
      <c r="AV22" s="639"/>
      <c r="AW22" s="639"/>
      <c r="AX22" s="639"/>
      <c r="AY22" s="639"/>
      <c r="AZ22" s="639"/>
      <c r="BA22" s="639"/>
    </row>
    <row r="23" spans="1:53" x14ac:dyDescent="0.25">
      <c r="A23" t="s">
        <v>1774</v>
      </c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39"/>
      <c r="P23" s="639"/>
      <c r="Q23" s="639"/>
      <c r="R23" s="639"/>
      <c r="S23" s="639"/>
      <c r="T23" s="639"/>
      <c r="U23" s="639"/>
      <c r="V23" s="639"/>
      <c r="W23" s="639"/>
      <c r="X23" s="639"/>
      <c r="Y23" s="639"/>
      <c r="Z23" s="639"/>
      <c r="AA23" s="639"/>
      <c r="AB23" s="639"/>
      <c r="AC23" s="639"/>
      <c r="AD23" s="639"/>
      <c r="AE23" s="639"/>
      <c r="AF23" s="639"/>
      <c r="AG23" s="639"/>
      <c r="AH23" s="639"/>
      <c r="AI23" s="639"/>
      <c r="AJ23" s="639"/>
      <c r="AK23" s="639"/>
      <c r="AL23" s="639"/>
      <c r="AM23" s="639"/>
      <c r="AN23" s="639"/>
      <c r="AO23" s="639"/>
      <c r="AP23" s="639"/>
      <c r="AQ23" s="639"/>
      <c r="AR23" s="639"/>
      <c r="AS23" s="639"/>
      <c r="AT23" s="639"/>
      <c r="AU23" s="639"/>
      <c r="AV23" s="639"/>
      <c r="AW23" s="639"/>
      <c r="AX23" s="639"/>
      <c r="AY23" s="639"/>
      <c r="AZ23" s="639"/>
      <c r="BA23" s="639"/>
    </row>
    <row r="24" spans="1:53" x14ac:dyDescent="0.25">
      <c r="A24" t="s">
        <v>17</v>
      </c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39"/>
      <c r="P24" s="639"/>
      <c r="Q24" s="639"/>
      <c r="R24" s="639"/>
      <c r="S24" s="639"/>
      <c r="T24" s="639"/>
      <c r="U24" s="639"/>
      <c r="V24" s="639"/>
      <c r="W24" s="639"/>
      <c r="X24" s="639"/>
      <c r="Y24" s="639"/>
      <c r="Z24" s="639"/>
      <c r="AA24" s="639"/>
      <c r="AB24" s="639"/>
      <c r="AC24" s="639"/>
      <c r="AD24" s="639"/>
      <c r="AE24" s="639"/>
      <c r="AF24" s="639"/>
      <c r="AG24" s="639"/>
      <c r="AH24" s="639"/>
      <c r="AI24" s="639"/>
      <c r="AJ24" s="639"/>
      <c r="AK24" s="639"/>
      <c r="AL24" s="639"/>
      <c r="AM24" s="639"/>
      <c r="AN24" s="639"/>
      <c r="AO24" s="639"/>
      <c r="AP24" s="639"/>
      <c r="AQ24" s="639"/>
      <c r="AR24" s="639"/>
      <c r="AS24" s="639"/>
      <c r="AT24" s="639"/>
      <c r="AU24" s="639"/>
      <c r="AV24" s="639"/>
      <c r="AW24" s="639"/>
      <c r="AX24" s="639"/>
      <c r="AY24" s="639"/>
      <c r="AZ24" s="639"/>
      <c r="BA24" s="639"/>
    </row>
    <row r="25" spans="1:53" x14ac:dyDescent="0.25">
      <c r="A25" t="s">
        <v>18</v>
      </c>
      <c r="B25" s="639"/>
      <c r="C25" s="639"/>
      <c r="D25" s="639"/>
      <c r="E25" s="639"/>
      <c r="F25" s="639"/>
      <c r="G25" s="639"/>
      <c r="H25" s="639"/>
      <c r="I25" s="639"/>
      <c r="J25" s="639"/>
      <c r="K25" s="639"/>
      <c r="L25" s="639"/>
      <c r="M25" s="639"/>
      <c r="N25" s="639"/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39"/>
      <c r="AB25" s="639"/>
      <c r="AC25" s="639"/>
      <c r="AD25" s="639"/>
      <c r="AE25" s="639"/>
      <c r="AF25" s="639"/>
      <c r="AG25" s="639"/>
      <c r="AH25" s="639"/>
      <c r="AI25" s="639"/>
      <c r="AJ25" s="639"/>
      <c r="AK25" s="639"/>
      <c r="AL25" s="639"/>
      <c r="AM25" s="639"/>
      <c r="AN25" s="639"/>
      <c r="AO25" s="639"/>
      <c r="AP25" s="639"/>
      <c r="AQ25" s="639"/>
      <c r="AR25" s="639"/>
      <c r="AS25" s="639"/>
      <c r="AT25" s="639"/>
      <c r="AU25" s="639"/>
      <c r="AV25" s="639"/>
      <c r="AW25" s="639"/>
      <c r="AX25" s="639"/>
      <c r="AY25" s="639"/>
      <c r="AZ25" s="639"/>
      <c r="BA25" s="639"/>
    </row>
    <row r="26" spans="1:53" x14ac:dyDescent="0.25">
      <c r="A26" t="s">
        <v>19</v>
      </c>
      <c r="B26" s="639"/>
      <c r="C26" s="639"/>
      <c r="D26" s="639"/>
      <c r="E26" s="639"/>
      <c r="F26" s="639"/>
      <c r="G26" s="639"/>
      <c r="H26" s="639"/>
      <c r="I26" s="639"/>
      <c r="J26" s="639"/>
      <c r="K26" s="639"/>
      <c r="L26" s="639"/>
      <c r="M26" s="639"/>
      <c r="N26" s="639"/>
      <c r="O26" s="639"/>
      <c r="P26" s="639"/>
      <c r="Q26" s="639"/>
      <c r="R26" s="639"/>
      <c r="S26" s="639"/>
      <c r="T26" s="639"/>
      <c r="U26" s="639"/>
      <c r="V26" s="639"/>
      <c r="W26" s="639"/>
      <c r="X26" s="639"/>
      <c r="Y26" s="639"/>
      <c r="Z26" s="639"/>
      <c r="AA26" s="639"/>
      <c r="AB26" s="639"/>
      <c r="AC26" s="639"/>
      <c r="AD26" s="639"/>
      <c r="AE26" s="639"/>
      <c r="AF26" s="639"/>
      <c r="AG26" s="639"/>
      <c r="AH26" s="639"/>
      <c r="AI26" s="639"/>
      <c r="AJ26" s="639"/>
      <c r="AK26" s="639"/>
      <c r="AL26" s="639"/>
      <c r="AM26" s="639"/>
      <c r="AN26" s="639"/>
      <c r="AO26" s="639"/>
      <c r="AP26" s="639"/>
      <c r="AQ26" s="639"/>
      <c r="AR26" s="639"/>
      <c r="AS26" s="639"/>
      <c r="AT26" s="639"/>
      <c r="AU26" s="639"/>
      <c r="AV26" s="639"/>
      <c r="AW26" s="639"/>
      <c r="AX26" s="639"/>
      <c r="AY26" s="639"/>
      <c r="AZ26" s="639"/>
      <c r="BA26" s="639"/>
    </row>
    <row r="27" spans="1:53" x14ac:dyDescent="0.25">
      <c r="A27" t="s">
        <v>20</v>
      </c>
      <c r="B27" s="639"/>
      <c r="C27" s="639"/>
      <c r="D27" s="639"/>
      <c r="E27" s="639"/>
      <c r="F27" s="639"/>
      <c r="G27" s="639"/>
      <c r="H27" s="639"/>
      <c r="I27" s="639"/>
      <c r="J27" s="639"/>
      <c r="K27" s="639"/>
      <c r="L27" s="639"/>
      <c r="M27" s="639"/>
      <c r="N27" s="639"/>
      <c r="O27" s="639"/>
      <c r="P27" s="639"/>
      <c r="Q27" s="639"/>
      <c r="R27" s="639"/>
      <c r="S27" s="639"/>
      <c r="T27" s="639"/>
      <c r="U27" s="639"/>
      <c r="V27" s="639"/>
      <c r="W27" s="639"/>
      <c r="X27" s="639"/>
      <c r="Y27" s="639"/>
      <c r="Z27" s="639"/>
      <c r="AA27" s="639"/>
      <c r="AB27" s="639"/>
      <c r="AC27" s="639"/>
      <c r="AD27" s="639"/>
      <c r="AE27" s="639"/>
      <c r="AF27" s="639"/>
      <c r="AG27" s="639"/>
      <c r="AH27" s="639"/>
      <c r="AI27" s="639"/>
      <c r="AJ27" s="639"/>
      <c r="AK27" s="639"/>
      <c r="AL27" s="639"/>
      <c r="AM27" s="639"/>
      <c r="AN27" s="639"/>
      <c r="AO27" s="639"/>
      <c r="AP27" s="639"/>
      <c r="AQ27" s="639"/>
      <c r="AR27" s="639"/>
      <c r="AS27" s="639"/>
      <c r="AT27" s="639"/>
      <c r="AU27" s="639"/>
      <c r="AV27" s="639"/>
      <c r="AW27" s="639"/>
      <c r="AX27" s="639"/>
      <c r="AY27" s="639"/>
      <c r="AZ27" s="639"/>
      <c r="BA27" s="639"/>
    </row>
    <row r="28" spans="1:53" x14ac:dyDescent="0.25">
      <c r="A28" t="s">
        <v>21</v>
      </c>
      <c r="B28" s="639"/>
      <c r="C28" s="639"/>
      <c r="D28" s="639"/>
      <c r="E28" s="639"/>
      <c r="F28" s="639"/>
      <c r="G28" s="639"/>
      <c r="H28" s="639"/>
      <c r="I28" s="639"/>
      <c r="J28" s="639"/>
      <c r="K28" s="639"/>
      <c r="L28" s="639"/>
      <c r="M28" s="639"/>
      <c r="N28" s="639"/>
      <c r="O28" s="639"/>
      <c r="P28" s="639"/>
      <c r="Q28" s="639"/>
      <c r="R28" s="639"/>
      <c r="S28" s="639"/>
      <c r="T28" s="639"/>
      <c r="U28" s="639"/>
      <c r="V28" s="639"/>
      <c r="W28" s="639"/>
      <c r="X28" s="639"/>
      <c r="Y28" s="639"/>
      <c r="Z28" s="639"/>
      <c r="AA28" s="639"/>
      <c r="AB28" s="639"/>
      <c r="AC28" s="639"/>
      <c r="AD28" s="639"/>
      <c r="AE28" s="639"/>
      <c r="AF28" s="639"/>
      <c r="AG28" s="639"/>
      <c r="AH28" s="639"/>
      <c r="AI28" s="639"/>
      <c r="AJ28" s="639"/>
      <c r="AK28" s="639"/>
      <c r="AL28" s="639"/>
      <c r="AM28" s="639"/>
      <c r="AN28" s="639"/>
      <c r="AO28" s="639"/>
      <c r="AP28" s="639"/>
      <c r="AQ28" s="639"/>
      <c r="AR28" s="639"/>
      <c r="AS28" s="639"/>
      <c r="AT28" s="639"/>
      <c r="AU28" s="639"/>
      <c r="AV28" s="639"/>
      <c r="AW28" s="639"/>
      <c r="AX28" s="639"/>
      <c r="AY28" s="639"/>
      <c r="AZ28" s="639"/>
      <c r="BA28" s="639"/>
    </row>
    <row r="29" spans="1:53" x14ac:dyDescent="0.25">
      <c r="A29" t="s">
        <v>22</v>
      </c>
      <c r="B29" s="639"/>
      <c r="C29" s="639"/>
      <c r="D29" s="639"/>
      <c r="E29" s="639"/>
      <c r="F29" s="639"/>
      <c r="G29" s="639"/>
      <c r="H29" s="639"/>
      <c r="I29" s="639"/>
      <c r="J29" s="639"/>
      <c r="K29" s="639"/>
      <c r="L29" s="639"/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W29" s="639"/>
      <c r="X29" s="639"/>
      <c r="Y29" s="639"/>
      <c r="Z29" s="639"/>
      <c r="AA29" s="639"/>
      <c r="AB29" s="639"/>
      <c r="AC29" s="639"/>
      <c r="AD29" s="639"/>
      <c r="AE29" s="639"/>
      <c r="AF29" s="639"/>
      <c r="AG29" s="639"/>
      <c r="AH29" s="639"/>
      <c r="AI29" s="639"/>
      <c r="AJ29" s="639"/>
      <c r="AK29" s="639"/>
      <c r="AL29" s="639"/>
      <c r="AM29" s="639"/>
      <c r="AN29" s="639"/>
      <c r="AO29" s="639"/>
      <c r="AP29" s="639"/>
      <c r="AQ29" s="639"/>
      <c r="AR29" s="639"/>
      <c r="AS29" s="639"/>
      <c r="AT29" s="639"/>
      <c r="AU29" s="639"/>
      <c r="AV29" s="639"/>
      <c r="AW29" s="639"/>
      <c r="AX29" s="639"/>
      <c r="AY29" s="639"/>
      <c r="AZ29" s="639"/>
      <c r="BA29" s="639"/>
    </row>
    <row r="30" spans="1:53" x14ac:dyDescent="0.25">
      <c r="A30" t="s">
        <v>24</v>
      </c>
      <c r="B30" s="639"/>
      <c r="C30" s="639"/>
      <c r="D30" s="639"/>
      <c r="E30" s="639"/>
      <c r="F30" s="639"/>
      <c r="G30" s="639"/>
      <c r="H30" s="639"/>
      <c r="I30" s="639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</row>
    <row r="31" spans="1:53" x14ac:dyDescent="0.25">
      <c r="A31" t="s">
        <v>28</v>
      </c>
      <c r="B31" s="639"/>
      <c r="C31" s="639"/>
      <c r="D31" s="639"/>
      <c r="E31" s="639"/>
      <c r="F31" s="639"/>
      <c r="G31" s="639"/>
      <c r="H31" s="639"/>
      <c r="I31" s="639"/>
      <c r="J31" s="639"/>
      <c r="K31" s="639"/>
      <c r="L31" s="639"/>
      <c r="M31" s="639"/>
      <c r="N31" s="639"/>
      <c r="O31" s="639"/>
      <c r="P31" s="639"/>
      <c r="Q31" s="639"/>
      <c r="R31" s="639"/>
      <c r="S31" s="639"/>
      <c r="T31" s="639"/>
      <c r="U31" s="639"/>
      <c r="V31" s="639"/>
      <c r="W31" s="639"/>
      <c r="X31" s="639"/>
      <c r="Y31" s="639"/>
      <c r="Z31" s="639"/>
      <c r="AA31" s="639"/>
      <c r="AB31" s="639"/>
      <c r="AC31" s="639"/>
      <c r="AD31" s="639"/>
      <c r="AE31" s="639"/>
      <c r="AF31" s="639"/>
      <c r="AG31" s="639"/>
      <c r="AH31" s="639"/>
      <c r="AI31" s="639"/>
      <c r="AJ31" s="639"/>
      <c r="AK31" s="639"/>
      <c r="AL31" s="639"/>
      <c r="AM31" s="639"/>
      <c r="AN31" s="639"/>
      <c r="AO31" s="639"/>
      <c r="AP31" s="639"/>
      <c r="AQ31" s="639"/>
      <c r="AR31" s="639"/>
      <c r="AS31" s="639"/>
      <c r="AT31" s="639"/>
      <c r="AU31" s="639"/>
      <c r="AV31" s="639"/>
      <c r="AW31" s="639"/>
      <c r="AX31" s="639"/>
      <c r="AY31" s="639"/>
      <c r="AZ31" s="639"/>
      <c r="BA31" s="639"/>
    </row>
    <row r="32" spans="1:53" x14ac:dyDescent="0.25">
      <c r="A32" t="s">
        <v>29</v>
      </c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39"/>
      <c r="P32" s="639"/>
      <c r="Q32" s="639"/>
      <c r="R32" s="639"/>
      <c r="S32" s="639"/>
      <c r="T32" s="639"/>
      <c r="U32" s="639"/>
      <c r="V32" s="639"/>
      <c r="W32" s="639"/>
      <c r="X32" s="639"/>
      <c r="Y32" s="639"/>
      <c r="Z32" s="639"/>
      <c r="AA32" s="639"/>
      <c r="AB32" s="639"/>
      <c r="AC32" s="639"/>
      <c r="AD32" s="639"/>
      <c r="AE32" s="639"/>
      <c r="AF32" s="639"/>
      <c r="AG32" s="639"/>
      <c r="AH32" s="639"/>
      <c r="AI32" s="639"/>
      <c r="AJ32" s="639"/>
      <c r="AK32" s="639"/>
      <c r="AL32" s="639"/>
      <c r="AM32" s="639"/>
      <c r="AN32" s="639"/>
      <c r="AO32" s="639"/>
      <c r="AP32" s="639"/>
      <c r="AQ32" s="639"/>
      <c r="AR32" s="639"/>
      <c r="AS32" s="639"/>
      <c r="AT32" s="639"/>
      <c r="AU32" s="639"/>
      <c r="AV32" s="639"/>
      <c r="AW32" s="639"/>
      <c r="AX32" s="639"/>
      <c r="AY32" s="639"/>
      <c r="AZ32" s="639"/>
      <c r="BA32" s="639"/>
    </row>
    <row r="33" spans="1:53" x14ac:dyDescent="0.25">
      <c r="A33" t="s">
        <v>30</v>
      </c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39"/>
      <c r="P33" s="639"/>
      <c r="Q33" s="639"/>
      <c r="R33" s="639"/>
      <c r="S33" s="639"/>
      <c r="T33" s="639"/>
      <c r="U33" s="639"/>
      <c r="V33" s="639"/>
      <c r="W33" s="639"/>
      <c r="X33" s="639"/>
      <c r="Y33" s="639"/>
      <c r="Z33" s="639"/>
      <c r="AA33" s="639"/>
      <c r="AB33" s="639"/>
      <c r="AC33" s="639"/>
      <c r="AD33" s="639"/>
      <c r="AE33" s="639"/>
      <c r="AF33" s="639"/>
      <c r="AG33" s="639"/>
      <c r="AH33" s="639"/>
      <c r="AI33" s="639"/>
      <c r="AJ33" s="639"/>
      <c r="AK33" s="639"/>
      <c r="AL33" s="639"/>
      <c r="AM33" s="639"/>
      <c r="AN33" s="639"/>
      <c r="AO33" s="639"/>
      <c r="AP33" s="639"/>
      <c r="AQ33" s="639"/>
      <c r="AR33" s="639"/>
      <c r="AS33" s="639"/>
      <c r="AT33" s="639"/>
      <c r="AU33" s="639"/>
      <c r="AV33" s="639"/>
      <c r="AW33" s="639"/>
      <c r="AX33" s="639"/>
      <c r="AY33" s="639"/>
      <c r="AZ33" s="639"/>
      <c r="BA33" s="639"/>
    </row>
    <row r="34" spans="1:53" x14ac:dyDescent="0.25">
      <c r="A34" t="s">
        <v>30</v>
      </c>
      <c r="B34" s="639"/>
      <c r="C34" s="639"/>
      <c r="D34" s="639"/>
      <c r="E34" s="639"/>
      <c r="F34" s="639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39"/>
      <c r="AB34" s="639"/>
      <c r="AC34" s="639"/>
      <c r="AD34" s="639"/>
      <c r="AE34" s="639"/>
      <c r="AF34" s="639"/>
      <c r="AG34" s="639"/>
      <c r="AH34" s="639"/>
      <c r="AI34" s="639"/>
      <c r="AJ34" s="639"/>
      <c r="AK34" s="639"/>
      <c r="AL34" s="639"/>
      <c r="AM34" s="639"/>
      <c r="AN34" s="639"/>
      <c r="AO34" s="639"/>
      <c r="AP34" s="639"/>
      <c r="AQ34" s="639"/>
      <c r="AR34" s="639"/>
      <c r="AS34" s="639"/>
      <c r="AT34" s="639"/>
      <c r="AU34" s="639"/>
      <c r="AV34" s="639"/>
      <c r="AW34" s="639"/>
      <c r="AX34" s="639"/>
      <c r="AY34" s="639"/>
      <c r="AZ34" s="639"/>
      <c r="BA34" s="639"/>
    </row>
    <row r="35" spans="1:53" x14ac:dyDescent="0.25">
      <c r="A35" s="321" t="s">
        <v>3081</v>
      </c>
      <c r="B35" s="643">
        <f>SUM(B14:B34)</f>
        <v>0</v>
      </c>
      <c r="C35" s="643">
        <f t="shared" ref="C35:H35" si="1">SUM(C14:C34)</f>
        <v>0</v>
      </c>
      <c r="D35" s="643">
        <f t="shared" si="1"/>
        <v>0</v>
      </c>
      <c r="E35" s="643">
        <f t="shared" si="1"/>
        <v>0</v>
      </c>
      <c r="F35" s="643">
        <f t="shared" si="1"/>
        <v>0</v>
      </c>
      <c r="G35" s="643">
        <f t="shared" si="1"/>
        <v>0</v>
      </c>
      <c r="H35" s="643">
        <f t="shared" si="1"/>
        <v>0</v>
      </c>
      <c r="I35" s="643">
        <f t="shared" ref="I35:BA35" si="2">SUM(I14:I34)</f>
        <v>0</v>
      </c>
      <c r="J35" s="643">
        <f t="shared" si="2"/>
        <v>0</v>
      </c>
      <c r="K35" s="643">
        <f t="shared" si="2"/>
        <v>0</v>
      </c>
      <c r="L35" s="643">
        <f t="shared" si="2"/>
        <v>0</v>
      </c>
      <c r="M35" s="643">
        <f t="shared" si="2"/>
        <v>0</v>
      </c>
      <c r="N35" s="643">
        <f t="shared" si="2"/>
        <v>0</v>
      </c>
      <c r="O35" s="643">
        <f t="shared" si="2"/>
        <v>0</v>
      </c>
      <c r="P35" s="643">
        <f t="shared" si="2"/>
        <v>0</v>
      </c>
      <c r="Q35" s="643">
        <f t="shared" si="2"/>
        <v>0</v>
      </c>
      <c r="R35" s="643">
        <f t="shared" si="2"/>
        <v>0</v>
      </c>
      <c r="S35" s="643">
        <f t="shared" si="2"/>
        <v>0</v>
      </c>
      <c r="T35" s="643">
        <f t="shared" si="2"/>
        <v>0</v>
      </c>
      <c r="U35" s="643">
        <f t="shared" si="2"/>
        <v>0</v>
      </c>
      <c r="V35" s="643">
        <f t="shared" si="2"/>
        <v>0</v>
      </c>
      <c r="W35" s="643">
        <f t="shared" si="2"/>
        <v>0</v>
      </c>
      <c r="X35" s="643">
        <f t="shared" si="2"/>
        <v>0</v>
      </c>
      <c r="Y35" s="643">
        <f t="shared" si="2"/>
        <v>0</v>
      </c>
      <c r="Z35" s="643">
        <f t="shared" si="2"/>
        <v>0</v>
      </c>
      <c r="AA35" s="643">
        <f t="shared" si="2"/>
        <v>0</v>
      </c>
      <c r="AB35" s="643">
        <f t="shared" si="2"/>
        <v>0</v>
      </c>
      <c r="AC35" s="643">
        <f t="shared" si="2"/>
        <v>0</v>
      </c>
      <c r="AD35" s="643">
        <f t="shared" si="2"/>
        <v>0</v>
      </c>
      <c r="AE35" s="643">
        <f t="shared" si="2"/>
        <v>0</v>
      </c>
      <c r="AF35" s="643">
        <f t="shared" si="2"/>
        <v>0</v>
      </c>
      <c r="AG35" s="643">
        <f t="shared" si="2"/>
        <v>0</v>
      </c>
      <c r="AH35" s="643">
        <f t="shared" si="2"/>
        <v>0</v>
      </c>
      <c r="AI35" s="643">
        <f t="shared" si="2"/>
        <v>0</v>
      </c>
      <c r="AJ35" s="643">
        <f t="shared" si="2"/>
        <v>0</v>
      </c>
      <c r="AK35" s="643">
        <f t="shared" si="2"/>
        <v>0</v>
      </c>
      <c r="AL35" s="643">
        <f t="shared" si="2"/>
        <v>0</v>
      </c>
      <c r="AM35" s="643">
        <f t="shared" si="2"/>
        <v>0</v>
      </c>
      <c r="AN35" s="643">
        <f t="shared" si="2"/>
        <v>0</v>
      </c>
      <c r="AO35" s="643">
        <f t="shared" si="2"/>
        <v>0</v>
      </c>
      <c r="AP35" s="643">
        <f t="shared" si="2"/>
        <v>0</v>
      </c>
      <c r="AQ35" s="643">
        <f t="shared" si="2"/>
        <v>0</v>
      </c>
      <c r="AR35" s="643">
        <f t="shared" si="2"/>
        <v>0</v>
      </c>
      <c r="AS35" s="643">
        <f t="shared" si="2"/>
        <v>0</v>
      </c>
      <c r="AT35" s="643">
        <f t="shared" si="2"/>
        <v>0</v>
      </c>
      <c r="AU35" s="643">
        <f t="shared" si="2"/>
        <v>0</v>
      </c>
      <c r="AV35" s="643">
        <f t="shared" si="2"/>
        <v>0</v>
      </c>
      <c r="AW35" s="643">
        <f t="shared" si="2"/>
        <v>0</v>
      </c>
      <c r="AX35" s="643">
        <f t="shared" si="2"/>
        <v>0</v>
      </c>
      <c r="AY35" s="643">
        <f t="shared" si="2"/>
        <v>0</v>
      </c>
      <c r="AZ35" s="643">
        <f t="shared" si="2"/>
        <v>0</v>
      </c>
      <c r="BA35" s="643">
        <f t="shared" si="2"/>
        <v>0</v>
      </c>
    </row>
    <row r="36" spans="1:53" x14ac:dyDescent="0.25">
      <c r="A36" t="s">
        <v>32</v>
      </c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39"/>
      <c r="P36" s="639"/>
      <c r="Q36" s="639"/>
      <c r="R36" s="639"/>
      <c r="S36" s="639"/>
      <c r="T36" s="639"/>
      <c r="U36" s="639"/>
      <c r="V36" s="639"/>
      <c r="W36" s="639"/>
      <c r="X36" s="639"/>
      <c r="Y36" s="639"/>
      <c r="Z36" s="639"/>
      <c r="AA36" s="639"/>
      <c r="AB36" s="639"/>
      <c r="AC36" s="639"/>
      <c r="AD36" s="639"/>
      <c r="AE36" s="639"/>
      <c r="AF36" s="639"/>
      <c r="AG36" s="639"/>
      <c r="AH36" s="639"/>
      <c r="AI36" s="639"/>
      <c r="AJ36" s="639"/>
      <c r="AK36" s="639"/>
      <c r="AL36" s="639"/>
      <c r="AM36" s="639"/>
      <c r="AN36" s="639"/>
      <c r="AO36" s="639"/>
      <c r="AP36" s="639"/>
      <c r="AQ36" s="639"/>
      <c r="AR36" s="639"/>
      <c r="AS36" s="639"/>
      <c r="AT36" s="639"/>
      <c r="AU36" s="639"/>
      <c r="AV36" s="639"/>
      <c r="AW36" s="639"/>
      <c r="AX36" s="639"/>
      <c r="AY36" s="639"/>
      <c r="AZ36" s="639"/>
      <c r="BA36" s="639"/>
    </row>
    <row r="37" spans="1:53" x14ac:dyDescent="0.25">
      <c r="A37" t="s">
        <v>33</v>
      </c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39"/>
      <c r="W37" s="639"/>
      <c r="X37" s="639"/>
      <c r="Y37" s="639"/>
      <c r="Z37" s="639"/>
      <c r="AA37" s="639"/>
      <c r="AB37" s="639"/>
      <c r="AC37" s="639"/>
      <c r="AD37" s="639"/>
      <c r="AE37" s="639"/>
      <c r="AF37" s="639"/>
      <c r="AG37" s="639"/>
      <c r="AH37" s="639"/>
      <c r="AI37" s="639"/>
      <c r="AJ37" s="639"/>
      <c r="AK37" s="639"/>
      <c r="AL37" s="639"/>
      <c r="AM37" s="639"/>
      <c r="AN37" s="639"/>
      <c r="AO37" s="639"/>
      <c r="AP37" s="639"/>
      <c r="AQ37" s="639"/>
      <c r="AR37" s="639"/>
      <c r="AS37" s="639"/>
      <c r="AT37" s="639"/>
      <c r="AU37" s="639"/>
      <c r="AV37" s="639"/>
      <c r="AW37" s="639"/>
      <c r="AX37" s="639"/>
      <c r="AY37" s="639"/>
      <c r="AZ37" s="639"/>
      <c r="BA37" s="639"/>
    </row>
    <row r="38" spans="1:53" x14ac:dyDescent="0.25">
      <c r="A38" t="s">
        <v>3082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639"/>
      <c r="AB38" s="639"/>
      <c r="AC38" s="639"/>
      <c r="AD38" s="639"/>
      <c r="AE38" s="639"/>
      <c r="AF38" s="639"/>
      <c r="AG38" s="639"/>
      <c r="AH38" s="639"/>
      <c r="AI38" s="639"/>
      <c r="AJ38" s="639"/>
      <c r="AK38" s="639"/>
      <c r="AL38" s="639"/>
      <c r="AM38" s="639"/>
      <c r="AN38" s="639"/>
      <c r="AO38" s="639"/>
      <c r="AP38" s="639"/>
      <c r="AQ38" s="639"/>
      <c r="AR38" s="639"/>
      <c r="AS38" s="639"/>
      <c r="AT38" s="639"/>
      <c r="AU38" s="639"/>
      <c r="AV38" s="639"/>
      <c r="AW38" s="639"/>
      <c r="AX38" s="639"/>
      <c r="AY38" s="639"/>
      <c r="AZ38" s="639"/>
      <c r="BA38" s="639"/>
    </row>
    <row r="40" spans="1:53" x14ac:dyDescent="0.25">
      <c r="A40" s="53" t="s">
        <v>3093</v>
      </c>
    </row>
    <row r="42" spans="1:53" x14ac:dyDescent="0.25">
      <c r="A42" t="s">
        <v>38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39"/>
      <c r="R42" s="639"/>
      <c r="S42" s="639"/>
      <c r="T42" s="639"/>
      <c r="U42" s="639"/>
      <c r="V42" s="639"/>
      <c r="W42" s="639"/>
      <c r="X42" s="639"/>
      <c r="Y42" s="639"/>
      <c r="Z42" s="639"/>
      <c r="AA42" s="639"/>
      <c r="AB42" s="639"/>
      <c r="AC42" s="639"/>
      <c r="AD42" s="639"/>
      <c r="AE42" s="639"/>
      <c r="AF42" s="639"/>
      <c r="AG42" s="639"/>
      <c r="AH42" s="639"/>
      <c r="AI42" s="639"/>
      <c r="AJ42" s="639"/>
      <c r="AK42" s="639"/>
      <c r="AL42" s="639"/>
      <c r="AM42" s="639"/>
      <c r="AN42" s="639"/>
      <c r="AO42" s="639"/>
      <c r="AP42" s="639"/>
      <c r="AQ42" s="639"/>
      <c r="AR42" s="639"/>
      <c r="AS42" s="639"/>
      <c r="AT42" s="639"/>
      <c r="AU42" s="639"/>
      <c r="AV42" s="639"/>
      <c r="AW42" s="639"/>
      <c r="AX42" s="639"/>
      <c r="AY42" s="639"/>
      <c r="AZ42" s="639"/>
      <c r="BA42" s="639"/>
    </row>
    <row r="43" spans="1:53" x14ac:dyDescent="0.25">
      <c r="A43" t="s">
        <v>39</v>
      </c>
      <c r="B43" s="639"/>
      <c r="C43" s="639"/>
      <c r="D43" s="639"/>
      <c r="E43" s="639"/>
      <c r="F43" s="639"/>
      <c r="G43" s="639"/>
      <c r="H43" s="639"/>
      <c r="I43" s="639"/>
      <c r="J43" s="639"/>
      <c r="K43" s="639"/>
      <c r="L43" s="639"/>
      <c r="M43" s="639"/>
      <c r="N43" s="639"/>
      <c r="O43" s="639"/>
      <c r="P43" s="639"/>
      <c r="Q43" s="639"/>
      <c r="R43" s="639"/>
      <c r="S43" s="639"/>
      <c r="T43" s="639"/>
      <c r="U43" s="639"/>
      <c r="V43" s="639"/>
      <c r="W43" s="639"/>
      <c r="X43" s="639"/>
      <c r="Y43" s="639"/>
      <c r="Z43" s="639"/>
      <c r="AA43" s="639"/>
      <c r="AB43" s="639"/>
      <c r="AC43" s="639"/>
      <c r="AD43" s="639"/>
      <c r="AE43" s="639"/>
      <c r="AF43" s="639"/>
      <c r="AG43" s="639"/>
      <c r="AH43" s="639"/>
      <c r="AI43" s="639"/>
      <c r="AJ43" s="639"/>
      <c r="AK43" s="639"/>
      <c r="AL43" s="639"/>
      <c r="AM43" s="639"/>
      <c r="AN43" s="639"/>
      <c r="AO43" s="639"/>
      <c r="AP43" s="639"/>
      <c r="AQ43" s="639"/>
      <c r="AR43" s="639"/>
      <c r="AS43" s="639"/>
      <c r="AT43" s="639"/>
      <c r="AU43" s="639"/>
      <c r="AV43" s="639"/>
      <c r="AW43" s="639"/>
      <c r="AX43" s="639"/>
      <c r="AY43" s="639"/>
      <c r="AZ43" s="639"/>
      <c r="BA43" s="639"/>
    </row>
    <row r="44" spans="1:53" x14ac:dyDescent="0.25">
      <c r="A44" t="s">
        <v>40</v>
      </c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39"/>
      <c r="P44" s="639"/>
      <c r="Q44" s="639"/>
      <c r="R44" s="639"/>
      <c r="S44" s="639"/>
      <c r="T44" s="639"/>
      <c r="U44" s="639"/>
      <c r="V44" s="639"/>
      <c r="W44" s="639"/>
      <c r="X44" s="639"/>
      <c r="Y44" s="639"/>
      <c r="Z44" s="639"/>
      <c r="AA44" s="639"/>
      <c r="AB44" s="639"/>
      <c r="AC44" s="639"/>
      <c r="AD44" s="639"/>
      <c r="AE44" s="639"/>
      <c r="AF44" s="639"/>
      <c r="AG44" s="639"/>
      <c r="AH44" s="639"/>
      <c r="AI44" s="639"/>
      <c r="AJ44" s="639"/>
      <c r="AK44" s="639"/>
      <c r="AL44" s="639"/>
      <c r="AM44" s="639"/>
      <c r="AN44" s="639"/>
      <c r="AO44" s="639"/>
      <c r="AP44" s="639"/>
      <c r="AQ44" s="639"/>
      <c r="AR44" s="639"/>
      <c r="AS44" s="639"/>
      <c r="AT44" s="639"/>
      <c r="AU44" s="639"/>
      <c r="AV44" s="639"/>
      <c r="AW44" s="639"/>
      <c r="AX44" s="639"/>
      <c r="AY44" s="639"/>
      <c r="AZ44" s="639"/>
      <c r="BA44" s="639"/>
    </row>
    <row r="45" spans="1:53" x14ac:dyDescent="0.25">
      <c r="A45" t="s">
        <v>41</v>
      </c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39"/>
      <c r="P45" s="639"/>
      <c r="Q45" s="639"/>
      <c r="R45" s="639"/>
      <c r="S45" s="639"/>
      <c r="T45" s="639"/>
      <c r="U45" s="639"/>
      <c r="V45" s="639"/>
      <c r="W45" s="639"/>
      <c r="X45" s="639"/>
      <c r="Y45" s="639"/>
      <c r="Z45" s="639"/>
      <c r="AA45" s="639"/>
      <c r="AB45" s="639"/>
      <c r="AC45" s="639"/>
      <c r="AD45" s="639"/>
      <c r="AE45" s="639"/>
      <c r="AF45" s="639"/>
      <c r="AG45" s="639"/>
      <c r="AH45" s="639"/>
      <c r="AI45" s="639"/>
      <c r="AJ45" s="639"/>
      <c r="AK45" s="639"/>
      <c r="AL45" s="639"/>
      <c r="AM45" s="639"/>
      <c r="AN45" s="639"/>
      <c r="AO45" s="639"/>
      <c r="AP45" s="639"/>
      <c r="AQ45" s="639"/>
      <c r="AR45" s="639"/>
      <c r="AS45" s="639"/>
      <c r="AT45" s="639"/>
      <c r="AU45" s="639"/>
      <c r="AV45" s="639"/>
      <c r="AW45" s="639"/>
      <c r="AX45" s="639"/>
      <c r="AY45" s="639"/>
      <c r="AZ45" s="639"/>
      <c r="BA45" s="639"/>
    </row>
    <row r="46" spans="1:53" x14ac:dyDescent="0.25">
      <c r="A46" s="645" t="s">
        <v>42</v>
      </c>
      <c r="B46" s="639"/>
      <c r="C46" s="639"/>
      <c r="D46" s="639"/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639"/>
      <c r="T46" s="639"/>
      <c r="U46" s="639"/>
      <c r="V46" s="639"/>
      <c r="W46" s="639"/>
      <c r="X46" s="639"/>
      <c r="Y46" s="639"/>
      <c r="Z46" s="639"/>
      <c r="AA46" s="639"/>
      <c r="AB46" s="639"/>
      <c r="AC46" s="639"/>
      <c r="AD46" s="639"/>
      <c r="AE46" s="639"/>
      <c r="AF46" s="639"/>
      <c r="AG46" s="639"/>
      <c r="AH46" s="639"/>
      <c r="AI46" s="639"/>
      <c r="AJ46" s="639"/>
      <c r="AK46" s="639"/>
      <c r="AL46" s="639"/>
      <c r="AM46" s="639"/>
      <c r="AN46" s="639"/>
      <c r="AO46" s="639"/>
      <c r="AP46" s="639"/>
      <c r="AQ46" s="639"/>
      <c r="AR46" s="639"/>
      <c r="AS46" s="639"/>
      <c r="AT46" s="639"/>
      <c r="AU46" s="639"/>
      <c r="AV46" s="639"/>
      <c r="AW46" s="639"/>
      <c r="AX46" s="639"/>
      <c r="AY46" s="639"/>
      <c r="AZ46" s="639"/>
      <c r="BA46" s="639"/>
    </row>
    <row r="47" spans="1:53" x14ac:dyDescent="0.25">
      <c r="A47" t="s">
        <v>44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P47" s="639"/>
      <c r="Q47" s="639"/>
      <c r="R47" s="639"/>
      <c r="S47" s="639"/>
      <c r="T47" s="639"/>
      <c r="U47" s="639"/>
      <c r="V47" s="639"/>
      <c r="W47" s="639"/>
      <c r="X47" s="639"/>
      <c r="Y47" s="639"/>
      <c r="Z47" s="639"/>
      <c r="AA47" s="639"/>
      <c r="AB47" s="639"/>
      <c r="AC47" s="639"/>
      <c r="AD47" s="639"/>
      <c r="AE47" s="639"/>
      <c r="AF47" s="639"/>
      <c r="AG47" s="639"/>
      <c r="AH47" s="639"/>
      <c r="AI47" s="639"/>
      <c r="AJ47" s="639"/>
      <c r="AK47" s="639"/>
      <c r="AL47" s="639"/>
      <c r="AM47" s="639"/>
      <c r="AN47" s="639"/>
      <c r="AO47" s="639"/>
      <c r="AP47" s="639"/>
      <c r="AQ47" s="639"/>
      <c r="AR47" s="639"/>
      <c r="AS47" s="639"/>
      <c r="AT47" s="639"/>
      <c r="AU47" s="639"/>
      <c r="AV47" s="639"/>
      <c r="AW47" s="639"/>
      <c r="AX47" s="639"/>
      <c r="AY47" s="639"/>
      <c r="AZ47" s="639"/>
      <c r="BA47" s="639"/>
    </row>
    <row r="48" spans="1:53" x14ac:dyDescent="0.25">
      <c r="A48" t="s">
        <v>45</v>
      </c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39"/>
      <c r="P48" s="639"/>
      <c r="Q48" s="639"/>
      <c r="R48" s="639"/>
      <c r="S48" s="639"/>
      <c r="T48" s="639"/>
      <c r="U48" s="639"/>
      <c r="V48" s="639"/>
      <c r="W48" s="639"/>
      <c r="X48" s="639"/>
      <c r="Y48" s="639"/>
      <c r="Z48" s="639"/>
      <c r="AA48" s="639"/>
      <c r="AB48" s="639"/>
      <c r="AC48" s="639"/>
      <c r="AD48" s="639"/>
      <c r="AE48" s="639"/>
      <c r="AF48" s="639"/>
      <c r="AG48" s="639"/>
      <c r="AH48" s="639"/>
      <c r="AI48" s="639"/>
      <c r="AJ48" s="639"/>
      <c r="AK48" s="639"/>
      <c r="AL48" s="639"/>
      <c r="AM48" s="639"/>
      <c r="AN48" s="639"/>
      <c r="AO48" s="639"/>
      <c r="AP48" s="639"/>
      <c r="AQ48" s="639"/>
      <c r="AR48" s="639"/>
      <c r="AS48" s="639"/>
      <c r="AT48" s="639"/>
      <c r="AU48" s="639"/>
      <c r="AV48" s="639"/>
      <c r="AW48" s="639"/>
      <c r="AX48" s="639"/>
      <c r="AY48" s="639"/>
      <c r="AZ48" s="639"/>
      <c r="BA48" s="639"/>
    </row>
    <row r="49" spans="1:53" x14ac:dyDescent="0.25">
      <c r="A49" t="s">
        <v>46</v>
      </c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39"/>
      <c r="P49" s="639"/>
      <c r="Q49" s="639"/>
      <c r="R49" s="639"/>
      <c r="S49" s="639"/>
      <c r="T49" s="639"/>
      <c r="U49" s="639"/>
      <c r="V49" s="639"/>
      <c r="W49" s="639"/>
      <c r="X49" s="639"/>
      <c r="Y49" s="639"/>
      <c r="Z49" s="639"/>
      <c r="AA49" s="639"/>
      <c r="AB49" s="639"/>
      <c r="AC49" s="639"/>
      <c r="AD49" s="639"/>
      <c r="AE49" s="639"/>
      <c r="AF49" s="639"/>
      <c r="AG49" s="639"/>
      <c r="AH49" s="639"/>
      <c r="AI49" s="639"/>
      <c r="AJ49" s="639"/>
      <c r="AK49" s="639"/>
      <c r="AL49" s="639"/>
      <c r="AM49" s="639"/>
      <c r="AN49" s="639"/>
      <c r="AO49" s="639"/>
      <c r="AP49" s="639"/>
      <c r="AQ49" s="639"/>
      <c r="AR49" s="639"/>
      <c r="AS49" s="639"/>
      <c r="AT49" s="639"/>
      <c r="AU49" s="639"/>
      <c r="AV49" s="639"/>
      <c r="AW49" s="639"/>
      <c r="AX49" s="639"/>
      <c r="AY49" s="639"/>
      <c r="AZ49" s="639"/>
      <c r="BA49" s="639"/>
    </row>
    <row r="50" spans="1:53" x14ac:dyDescent="0.25">
      <c r="A50" t="s">
        <v>371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39"/>
      <c r="AB50" s="639"/>
      <c r="AC50" s="639"/>
      <c r="AD50" s="639"/>
      <c r="AE50" s="639"/>
      <c r="AF50" s="639"/>
      <c r="AG50" s="639"/>
      <c r="AH50" s="639"/>
      <c r="AI50" s="639"/>
      <c r="AJ50" s="639"/>
      <c r="AK50" s="639"/>
      <c r="AL50" s="639"/>
      <c r="AM50" s="639"/>
      <c r="AN50" s="639"/>
      <c r="AO50" s="639"/>
      <c r="AP50" s="639"/>
      <c r="AQ50" s="639"/>
      <c r="AR50" s="639"/>
      <c r="AS50" s="639"/>
      <c r="AT50" s="639"/>
      <c r="AU50" s="639"/>
      <c r="AV50" s="639"/>
      <c r="AW50" s="639"/>
      <c r="AX50" s="639"/>
      <c r="AY50" s="639"/>
      <c r="AZ50" s="639"/>
      <c r="BA50" s="639"/>
    </row>
    <row r="51" spans="1:53" x14ac:dyDescent="0.25">
      <c r="A51" t="s">
        <v>47</v>
      </c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  <c r="O51" s="639"/>
      <c r="P51" s="639"/>
      <c r="Q51" s="639"/>
      <c r="R51" s="639"/>
      <c r="S51" s="639"/>
      <c r="T51" s="639"/>
      <c r="U51" s="639"/>
      <c r="V51" s="639"/>
      <c r="W51" s="639"/>
      <c r="X51" s="639"/>
      <c r="Y51" s="639"/>
      <c r="Z51" s="639"/>
      <c r="AA51" s="639"/>
      <c r="AB51" s="639"/>
      <c r="AC51" s="639"/>
      <c r="AD51" s="639"/>
      <c r="AE51" s="639"/>
      <c r="AF51" s="639"/>
      <c r="AG51" s="639"/>
      <c r="AH51" s="639"/>
      <c r="AI51" s="639"/>
      <c r="AJ51" s="639"/>
      <c r="AK51" s="639"/>
      <c r="AL51" s="639"/>
      <c r="AM51" s="639"/>
      <c r="AN51" s="639"/>
      <c r="AO51" s="639"/>
      <c r="AP51" s="639"/>
      <c r="AQ51" s="639"/>
      <c r="AR51" s="639"/>
      <c r="AS51" s="639"/>
      <c r="AT51" s="639"/>
      <c r="AU51" s="639"/>
      <c r="AV51" s="639"/>
      <c r="AW51" s="639"/>
      <c r="AX51" s="639"/>
      <c r="AY51" s="639"/>
      <c r="AZ51" s="639"/>
      <c r="BA51" s="639"/>
    </row>
    <row r="52" spans="1:53" x14ac:dyDescent="0.25">
      <c r="A52" s="645" t="s">
        <v>42</v>
      </c>
      <c r="B52" s="639"/>
      <c r="C52" s="639"/>
      <c r="D52" s="639"/>
      <c r="E52" s="639"/>
      <c r="F52" s="639"/>
      <c r="G52" s="639"/>
      <c r="H52" s="639"/>
      <c r="I52" s="639"/>
      <c r="J52" s="639"/>
      <c r="K52" s="639"/>
      <c r="L52" s="639"/>
      <c r="M52" s="639"/>
      <c r="N52" s="639"/>
      <c r="O52" s="639"/>
      <c r="P52" s="639"/>
      <c r="Q52" s="639"/>
      <c r="R52" s="639"/>
      <c r="S52" s="639"/>
      <c r="T52" s="639"/>
      <c r="U52" s="639"/>
      <c r="V52" s="639"/>
      <c r="W52" s="639"/>
      <c r="X52" s="639"/>
      <c r="Y52" s="639"/>
      <c r="Z52" s="639"/>
      <c r="AA52" s="639"/>
      <c r="AB52" s="639"/>
      <c r="AC52" s="639"/>
      <c r="AD52" s="639"/>
      <c r="AE52" s="639"/>
      <c r="AF52" s="639"/>
      <c r="AG52" s="639"/>
      <c r="AH52" s="639"/>
      <c r="AI52" s="639"/>
      <c r="AJ52" s="639"/>
      <c r="AK52" s="639"/>
      <c r="AL52" s="639"/>
      <c r="AM52" s="639"/>
      <c r="AN52" s="639"/>
      <c r="AO52" s="639"/>
      <c r="AP52" s="639"/>
      <c r="AQ52" s="639"/>
      <c r="AR52" s="639"/>
      <c r="AS52" s="639"/>
      <c r="AT52" s="639"/>
      <c r="AU52" s="639"/>
      <c r="AV52" s="639"/>
      <c r="AW52" s="639"/>
      <c r="AX52" s="639"/>
      <c r="AY52" s="639"/>
      <c r="AZ52" s="639"/>
      <c r="BA52" s="639"/>
    </row>
    <row r="53" spans="1:53" x14ac:dyDescent="0.25">
      <c r="A53" t="s">
        <v>49</v>
      </c>
      <c r="B53" s="639"/>
      <c r="C53" s="639"/>
      <c r="D53" s="639"/>
      <c r="E53" s="639"/>
      <c r="F53" s="639"/>
      <c r="G53" s="639"/>
      <c r="H53" s="639"/>
      <c r="I53" s="639"/>
      <c r="J53" s="639"/>
      <c r="K53" s="639"/>
      <c r="L53" s="639"/>
      <c r="M53" s="639"/>
      <c r="N53" s="639"/>
      <c r="O53" s="639"/>
      <c r="P53" s="639"/>
      <c r="Q53" s="639"/>
      <c r="R53" s="639"/>
      <c r="S53" s="639"/>
      <c r="T53" s="639"/>
      <c r="U53" s="639"/>
      <c r="V53" s="639"/>
      <c r="W53" s="639"/>
      <c r="X53" s="639"/>
      <c r="Y53" s="639"/>
      <c r="Z53" s="639"/>
      <c r="AA53" s="639"/>
      <c r="AB53" s="639"/>
      <c r="AC53" s="639"/>
      <c r="AD53" s="639"/>
      <c r="AE53" s="639"/>
      <c r="AF53" s="639"/>
      <c r="AG53" s="639"/>
      <c r="AH53" s="639"/>
      <c r="AI53" s="639"/>
      <c r="AJ53" s="639"/>
      <c r="AK53" s="639"/>
      <c r="AL53" s="639"/>
      <c r="AM53" s="639"/>
      <c r="AN53" s="639"/>
      <c r="AO53" s="639"/>
      <c r="AP53" s="639"/>
      <c r="AQ53" s="639"/>
      <c r="AR53" s="639"/>
      <c r="AS53" s="639"/>
      <c r="AT53" s="639"/>
      <c r="AU53" s="639"/>
      <c r="AV53" s="639"/>
      <c r="AW53" s="639"/>
      <c r="AX53" s="639"/>
      <c r="AY53" s="639"/>
      <c r="AZ53" s="639"/>
      <c r="BA53" s="639"/>
    </row>
    <row r="54" spans="1:53" x14ac:dyDescent="0.25">
      <c r="A54" t="s">
        <v>3084</v>
      </c>
      <c r="B54" s="639"/>
      <c r="C54" s="639"/>
      <c r="D54" s="639"/>
      <c r="E54" s="639"/>
      <c r="F54" s="639"/>
      <c r="G54" s="639"/>
      <c r="H54" s="639"/>
      <c r="I54" s="639"/>
      <c r="J54" s="639"/>
      <c r="K54" s="639"/>
      <c r="L54" s="639"/>
      <c r="M54" s="639"/>
      <c r="N54" s="639"/>
      <c r="O54" s="639"/>
      <c r="P54" s="639"/>
      <c r="Q54" s="639"/>
      <c r="R54" s="639"/>
      <c r="S54" s="639"/>
      <c r="T54" s="639"/>
      <c r="U54" s="639"/>
      <c r="V54" s="639"/>
      <c r="W54" s="639"/>
      <c r="X54" s="639"/>
      <c r="Y54" s="639"/>
      <c r="Z54" s="639"/>
      <c r="AA54" s="639"/>
      <c r="AB54" s="639"/>
      <c r="AC54" s="639"/>
      <c r="AD54" s="639"/>
      <c r="AE54" s="639"/>
      <c r="AF54" s="639"/>
      <c r="AG54" s="639"/>
      <c r="AH54" s="639"/>
      <c r="AI54" s="639"/>
      <c r="AJ54" s="639"/>
      <c r="AK54" s="639"/>
      <c r="AL54" s="639"/>
      <c r="AM54" s="639"/>
      <c r="AN54" s="639"/>
      <c r="AO54" s="639"/>
      <c r="AP54" s="639"/>
      <c r="AQ54" s="639"/>
      <c r="AR54" s="639"/>
      <c r="AS54" s="639"/>
      <c r="AT54" s="639"/>
      <c r="AU54" s="639"/>
      <c r="AV54" s="639"/>
      <c r="AW54" s="639"/>
      <c r="AX54" s="639"/>
      <c r="AY54" s="639"/>
      <c r="AZ54" s="639"/>
      <c r="BA54" s="639"/>
    </row>
    <row r="55" spans="1:53" x14ac:dyDescent="0.25">
      <c r="A55" t="s">
        <v>51</v>
      </c>
      <c r="B55" s="639"/>
      <c r="C55" s="639"/>
      <c r="D55" s="639"/>
      <c r="E55" s="639"/>
      <c r="F55" s="639"/>
      <c r="G55" s="639"/>
      <c r="H55" s="639"/>
      <c r="I55" s="639"/>
      <c r="J55" s="639"/>
      <c r="K55" s="639"/>
      <c r="L55" s="639"/>
      <c r="M55" s="639"/>
      <c r="N55" s="639"/>
      <c r="O55" s="639"/>
      <c r="P55" s="639"/>
      <c r="Q55" s="639"/>
      <c r="R55" s="639"/>
      <c r="S55" s="639"/>
      <c r="T55" s="639"/>
      <c r="U55" s="639"/>
      <c r="V55" s="639"/>
      <c r="W55" s="639"/>
      <c r="X55" s="639"/>
      <c r="Y55" s="639"/>
      <c r="Z55" s="639"/>
      <c r="AA55" s="639"/>
      <c r="AB55" s="639"/>
      <c r="AC55" s="639"/>
      <c r="AD55" s="639"/>
      <c r="AE55" s="639"/>
      <c r="AF55" s="639"/>
      <c r="AG55" s="639"/>
      <c r="AH55" s="639"/>
      <c r="AI55" s="639"/>
      <c r="AJ55" s="639"/>
      <c r="AK55" s="639"/>
      <c r="AL55" s="639"/>
      <c r="AM55" s="639"/>
      <c r="AN55" s="639"/>
      <c r="AO55" s="639"/>
      <c r="AP55" s="639"/>
      <c r="AQ55" s="639"/>
      <c r="AR55" s="639"/>
      <c r="AS55" s="639"/>
      <c r="AT55" s="639"/>
      <c r="AU55" s="639"/>
      <c r="AV55" s="639"/>
      <c r="AW55" s="639"/>
      <c r="AX55" s="639"/>
      <c r="AY55" s="639"/>
      <c r="AZ55" s="639"/>
      <c r="BA55" s="639"/>
    </row>
    <row r="56" spans="1:53" x14ac:dyDescent="0.25">
      <c r="A56" t="s">
        <v>52</v>
      </c>
      <c r="B56" s="639"/>
      <c r="C56" s="639"/>
      <c r="D56" s="639"/>
      <c r="E56" s="639"/>
      <c r="F56" s="639"/>
      <c r="G56" s="639"/>
      <c r="H56" s="639"/>
      <c r="I56" s="639"/>
      <c r="J56" s="639"/>
      <c r="K56" s="639"/>
      <c r="L56" s="639"/>
      <c r="M56" s="639"/>
      <c r="N56" s="639"/>
      <c r="O56" s="639"/>
      <c r="P56" s="639"/>
      <c r="Q56" s="639"/>
      <c r="R56" s="639"/>
      <c r="S56" s="639"/>
      <c r="T56" s="639"/>
      <c r="U56" s="639"/>
      <c r="V56" s="639"/>
      <c r="W56" s="639"/>
      <c r="X56" s="639"/>
      <c r="Y56" s="639"/>
      <c r="Z56" s="639"/>
      <c r="AA56" s="639"/>
      <c r="AB56" s="639"/>
      <c r="AC56" s="639"/>
      <c r="AD56" s="639"/>
      <c r="AE56" s="639"/>
      <c r="AF56" s="639"/>
      <c r="AG56" s="639"/>
      <c r="AH56" s="639"/>
      <c r="AI56" s="639"/>
      <c r="AJ56" s="639"/>
      <c r="AK56" s="639"/>
      <c r="AL56" s="639"/>
      <c r="AM56" s="639"/>
      <c r="AN56" s="639"/>
      <c r="AO56" s="639"/>
      <c r="AP56" s="639"/>
      <c r="AQ56" s="639"/>
      <c r="AR56" s="639"/>
      <c r="AS56" s="639"/>
      <c r="AT56" s="639"/>
      <c r="AU56" s="639"/>
      <c r="AV56" s="639"/>
      <c r="AW56" s="639"/>
      <c r="AX56" s="639"/>
      <c r="AY56" s="639"/>
      <c r="AZ56" s="639"/>
      <c r="BA56" s="639"/>
    </row>
    <row r="57" spans="1:53" x14ac:dyDescent="0.25">
      <c r="A57" t="s">
        <v>54</v>
      </c>
      <c r="B57" s="639"/>
      <c r="C57" s="639"/>
      <c r="D57" s="639"/>
      <c r="E57" s="639"/>
      <c r="F57" s="639"/>
      <c r="G57" s="639"/>
      <c r="H57" s="639"/>
      <c r="I57" s="639"/>
      <c r="J57" s="639"/>
      <c r="K57" s="639"/>
      <c r="L57" s="639"/>
      <c r="M57" s="639"/>
      <c r="N57" s="639"/>
      <c r="O57" s="639"/>
      <c r="P57" s="639"/>
      <c r="Q57" s="639"/>
      <c r="R57" s="639"/>
      <c r="S57" s="639"/>
      <c r="T57" s="639"/>
      <c r="U57" s="639"/>
      <c r="V57" s="639"/>
      <c r="W57" s="639"/>
      <c r="X57" s="639"/>
      <c r="Y57" s="639"/>
      <c r="Z57" s="639"/>
      <c r="AA57" s="639"/>
      <c r="AB57" s="639"/>
      <c r="AC57" s="639"/>
      <c r="AD57" s="639"/>
      <c r="AE57" s="639"/>
      <c r="AF57" s="639"/>
      <c r="AG57" s="639"/>
      <c r="AH57" s="639"/>
      <c r="AI57" s="639"/>
      <c r="AJ57" s="639"/>
      <c r="AK57" s="639"/>
      <c r="AL57" s="639"/>
      <c r="AM57" s="639"/>
      <c r="AN57" s="639"/>
      <c r="AO57" s="639"/>
      <c r="AP57" s="639"/>
      <c r="AQ57" s="639"/>
      <c r="AR57" s="639"/>
      <c r="AS57" s="639"/>
      <c r="AT57" s="639"/>
      <c r="AU57" s="639"/>
      <c r="AV57" s="639"/>
      <c r="AW57" s="639"/>
      <c r="AX57" s="639"/>
      <c r="AY57" s="639"/>
      <c r="AZ57" s="639"/>
      <c r="BA57" s="639"/>
    </row>
    <row r="58" spans="1:53" x14ac:dyDescent="0.25">
      <c r="A58" t="s">
        <v>55</v>
      </c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39"/>
      <c r="P58" s="639"/>
      <c r="Q58" s="639"/>
      <c r="R58" s="639"/>
      <c r="S58" s="639"/>
      <c r="T58" s="639"/>
      <c r="U58" s="639"/>
      <c r="V58" s="639"/>
      <c r="W58" s="639"/>
      <c r="X58" s="639"/>
      <c r="Y58" s="639"/>
      <c r="Z58" s="639"/>
      <c r="AA58" s="639"/>
      <c r="AB58" s="639"/>
      <c r="AC58" s="639"/>
      <c r="AD58" s="639"/>
      <c r="AE58" s="639"/>
      <c r="AF58" s="639"/>
      <c r="AG58" s="639"/>
      <c r="AH58" s="639"/>
      <c r="AI58" s="639"/>
      <c r="AJ58" s="639"/>
      <c r="AK58" s="639"/>
      <c r="AL58" s="639"/>
      <c r="AM58" s="639"/>
      <c r="AN58" s="639"/>
      <c r="AO58" s="639"/>
      <c r="AP58" s="639"/>
      <c r="AQ58" s="639"/>
      <c r="AR58" s="639"/>
      <c r="AS58" s="639"/>
      <c r="AT58" s="639"/>
      <c r="AU58" s="639"/>
      <c r="AV58" s="639"/>
      <c r="AW58" s="639"/>
      <c r="AX58" s="639"/>
      <c r="AY58" s="639"/>
      <c r="AZ58" s="639"/>
      <c r="BA58" s="639"/>
    </row>
    <row r="59" spans="1:53" x14ac:dyDescent="0.25">
      <c r="A59" t="s">
        <v>56</v>
      </c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39"/>
      <c r="P59" s="639"/>
      <c r="Q59" s="639"/>
      <c r="R59" s="639"/>
      <c r="S59" s="639"/>
      <c r="T59" s="639"/>
      <c r="U59" s="639"/>
      <c r="V59" s="639"/>
      <c r="W59" s="639"/>
      <c r="X59" s="639"/>
      <c r="Y59" s="639"/>
      <c r="Z59" s="639"/>
      <c r="AA59" s="639"/>
      <c r="AB59" s="639"/>
      <c r="AC59" s="639"/>
      <c r="AD59" s="639"/>
      <c r="AE59" s="639"/>
      <c r="AF59" s="639"/>
      <c r="AG59" s="639"/>
      <c r="AH59" s="639"/>
      <c r="AI59" s="639"/>
      <c r="AJ59" s="639"/>
      <c r="AK59" s="639"/>
      <c r="AL59" s="639"/>
      <c r="AM59" s="639"/>
      <c r="AN59" s="639"/>
      <c r="AO59" s="639"/>
      <c r="AP59" s="639"/>
      <c r="AQ59" s="639"/>
      <c r="AR59" s="639"/>
      <c r="AS59" s="639"/>
      <c r="AT59" s="639"/>
      <c r="AU59" s="639"/>
      <c r="AV59" s="639"/>
      <c r="AW59" s="639"/>
      <c r="AX59" s="639"/>
      <c r="AY59" s="639"/>
      <c r="AZ59" s="639"/>
      <c r="BA59" s="639"/>
    </row>
    <row r="60" spans="1:53" x14ac:dyDescent="0.25">
      <c r="A60" t="s">
        <v>57</v>
      </c>
      <c r="B60" s="639"/>
      <c r="C60" s="639"/>
      <c r="D60" s="639"/>
      <c r="E60" s="639"/>
      <c r="F60" s="639"/>
      <c r="G60" s="639"/>
      <c r="H60" s="639"/>
      <c r="I60" s="639"/>
      <c r="J60" s="639"/>
      <c r="K60" s="639"/>
      <c r="L60" s="639"/>
      <c r="M60" s="639"/>
      <c r="N60" s="639"/>
      <c r="O60" s="639"/>
      <c r="P60" s="639"/>
      <c r="Q60" s="639"/>
      <c r="R60" s="639"/>
      <c r="S60" s="639"/>
      <c r="T60" s="639"/>
      <c r="U60" s="639"/>
      <c r="V60" s="639"/>
      <c r="W60" s="639"/>
      <c r="X60" s="639"/>
      <c r="Y60" s="639"/>
      <c r="Z60" s="639"/>
      <c r="AA60" s="639"/>
      <c r="AB60" s="639"/>
      <c r="AC60" s="639"/>
      <c r="AD60" s="639"/>
      <c r="AE60" s="639"/>
      <c r="AF60" s="639"/>
      <c r="AG60" s="639"/>
      <c r="AH60" s="639"/>
      <c r="AI60" s="639"/>
      <c r="AJ60" s="639"/>
      <c r="AK60" s="639"/>
      <c r="AL60" s="639"/>
      <c r="AM60" s="639"/>
      <c r="AN60" s="639"/>
      <c r="AO60" s="639"/>
      <c r="AP60" s="639"/>
      <c r="AQ60" s="639"/>
      <c r="AR60" s="639"/>
      <c r="AS60" s="639"/>
      <c r="AT60" s="639"/>
      <c r="AU60" s="639"/>
      <c r="AV60" s="639"/>
      <c r="AW60" s="639"/>
      <c r="AX60" s="639"/>
      <c r="AY60" s="639"/>
      <c r="AZ60" s="639"/>
      <c r="BA60" s="639"/>
    </row>
    <row r="61" spans="1:53" x14ac:dyDescent="0.25">
      <c r="A61" t="s">
        <v>59</v>
      </c>
      <c r="B61" s="639"/>
      <c r="C61" s="639"/>
      <c r="D61" s="639"/>
      <c r="E61" s="639"/>
      <c r="F61" s="639"/>
      <c r="G61" s="639"/>
      <c r="H61" s="639"/>
      <c r="I61" s="639"/>
      <c r="J61" s="639"/>
      <c r="K61" s="639"/>
      <c r="L61" s="639"/>
      <c r="M61" s="639"/>
      <c r="N61" s="639"/>
      <c r="O61" s="639"/>
      <c r="P61" s="639"/>
      <c r="Q61" s="639"/>
      <c r="R61" s="639"/>
      <c r="S61" s="639"/>
      <c r="T61" s="639"/>
      <c r="U61" s="639"/>
      <c r="V61" s="639"/>
      <c r="W61" s="639"/>
      <c r="X61" s="639"/>
      <c r="Y61" s="639"/>
      <c r="Z61" s="639"/>
      <c r="AA61" s="639"/>
      <c r="AB61" s="639"/>
      <c r="AC61" s="639"/>
      <c r="AD61" s="639"/>
      <c r="AE61" s="639"/>
      <c r="AF61" s="639"/>
      <c r="AG61" s="639"/>
      <c r="AH61" s="639"/>
      <c r="AI61" s="639"/>
      <c r="AJ61" s="639"/>
      <c r="AK61" s="639"/>
      <c r="AL61" s="639"/>
      <c r="AM61" s="639"/>
      <c r="AN61" s="639"/>
      <c r="AO61" s="639"/>
      <c r="AP61" s="639"/>
      <c r="AQ61" s="639"/>
      <c r="AR61" s="639"/>
      <c r="AS61" s="639"/>
      <c r="AT61" s="639"/>
      <c r="AU61" s="639"/>
      <c r="AV61" s="639"/>
      <c r="AW61" s="639"/>
      <c r="AX61" s="639"/>
      <c r="AY61" s="639"/>
      <c r="AZ61" s="639"/>
      <c r="BA61" s="639"/>
    </row>
    <row r="62" spans="1:53" x14ac:dyDescent="0.25">
      <c r="A62" t="s">
        <v>61</v>
      </c>
      <c r="B62" s="639"/>
      <c r="C62" s="639"/>
      <c r="D62" s="639"/>
      <c r="E62" s="639"/>
      <c r="F62" s="639"/>
      <c r="G62" s="639"/>
      <c r="H62" s="639"/>
      <c r="I62" s="639"/>
      <c r="J62" s="639"/>
      <c r="K62" s="639"/>
      <c r="L62" s="639"/>
      <c r="M62" s="639"/>
      <c r="N62" s="639"/>
      <c r="O62" s="639"/>
      <c r="P62" s="639"/>
      <c r="Q62" s="639"/>
      <c r="R62" s="639"/>
      <c r="S62" s="639"/>
      <c r="T62" s="639"/>
      <c r="U62" s="639"/>
      <c r="V62" s="639"/>
      <c r="W62" s="639"/>
      <c r="X62" s="639"/>
      <c r="Y62" s="639"/>
      <c r="Z62" s="639"/>
      <c r="AA62" s="639"/>
      <c r="AB62" s="639"/>
      <c r="AC62" s="639"/>
      <c r="AD62" s="639"/>
      <c r="AE62" s="639"/>
      <c r="AF62" s="639"/>
      <c r="AG62" s="639"/>
      <c r="AH62" s="639"/>
      <c r="AI62" s="639"/>
      <c r="AJ62" s="639"/>
      <c r="AK62" s="639"/>
      <c r="AL62" s="639"/>
      <c r="AM62" s="639"/>
      <c r="AN62" s="639"/>
      <c r="AO62" s="639"/>
      <c r="AP62" s="639"/>
      <c r="AQ62" s="639"/>
      <c r="AR62" s="639"/>
      <c r="AS62" s="639"/>
      <c r="AT62" s="639"/>
      <c r="AU62" s="639"/>
      <c r="AV62" s="639"/>
      <c r="AW62" s="639"/>
      <c r="AX62" s="639"/>
      <c r="AY62" s="639"/>
      <c r="AZ62" s="639"/>
      <c r="BA62" s="639"/>
    </row>
    <row r="63" spans="1:53" x14ac:dyDescent="0.25">
      <c r="A63" t="s">
        <v>3086</v>
      </c>
      <c r="B63" s="639"/>
      <c r="C63" s="639"/>
      <c r="D63" s="639"/>
      <c r="E63" s="639"/>
      <c r="F63" s="639"/>
      <c r="G63" s="639"/>
      <c r="H63" s="639"/>
      <c r="I63" s="639"/>
      <c r="J63" s="639"/>
      <c r="K63" s="639"/>
      <c r="L63" s="639"/>
      <c r="M63" s="639"/>
      <c r="N63" s="639"/>
      <c r="O63" s="639"/>
      <c r="P63" s="639"/>
      <c r="Q63" s="639"/>
      <c r="R63" s="639"/>
      <c r="S63" s="639"/>
      <c r="T63" s="639"/>
      <c r="U63" s="639"/>
      <c r="V63" s="639"/>
      <c r="W63" s="639"/>
      <c r="X63" s="639"/>
      <c r="Y63" s="639"/>
      <c r="Z63" s="639"/>
      <c r="AA63" s="639"/>
      <c r="AB63" s="639"/>
      <c r="AC63" s="639"/>
      <c r="AD63" s="639"/>
      <c r="AE63" s="639"/>
      <c r="AF63" s="639"/>
      <c r="AG63" s="639"/>
      <c r="AH63" s="639"/>
      <c r="AI63" s="639"/>
      <c r="AJ63" s="639"/>
      <c r="AK63" s="639"/>
      <c r="AL63" s="639"/>
      <c r="AM63" s="639"/>
      <c r="AN63" s="639"/>
      <c r="AO63" s="639"/>
      <c r="AP63" s="639"/>
      <c r="AQ63" s="639"/>
      <c r="AR63" s="639"/>
      <c r="AS63" s="639"/>
      <c r="AT63" s="639"/>
      <c r="AU63" s="639"/>
      <c r="AV63" s="639"/>
      <c r="AW63" s="639"/>
      <c r="AX63" s="639"/>
      <c r="AY63" s="639"/>
      <c r="AZ63" s="639"/>
      <c r="BA63" s="639"/>
    </row>
    <row r="64" spans="1:53" x14ac:dyDescent="0.25">
      <c r="A64" t="s">
        <v>1782</v>
      </c>
      <c r="B64" s="639"/>
      <c r="C64" s="639"/>
      <c r="D64" s="639"/>
      <c r="E64" s="639"/>
      <c r="F64" s="639"/>
      <c r="G64" s="639"/>
      <c r="H64" s="639"/>
      <c r="I64" s="639"/>
      <c r="J64" s="639"/>
      <c r="K64" s="639"/>
      <c r="L64" s="639"/>
      <c r="M64" s="639"/>
      <c r="N64" s="639"/>
      <c r="O64" s="639"/>
      <c r="P64" s="639"/>
      <c r="Q64" s="639"/>
      <c r="R64" s="639"/>
      <c r="S64" s="639"/>
      <c r="T64" s="639"/>
      <c r="U64" s="639"/>
      <c r="V64" s="639"/>
      <c r="W64" s="639"/>
      <c r="X64" s="639"/>
      <c r="Y64" s="639"/>
      <c r="Z64" s="639"/>
      <c r="AA64" s="639"/>
      <c r="AB64" s="639"/>
      <c r="AC64" s="639"/>
      <c r="AD64" s="639"/>
      <c r="AE64" s="639"/>
      <c r="AF64" s="639"/>
      <c r="AG64" s="639"/>
      <c r="AH64" s="639"/>
      <c r="AI64" s="639"/>
      <c r="AJ64" s="639"/>
      <c r="AK64" s="639"/>
      <c r="AL64" s="639"/>
      <c r="AM64" s="639"/>
      <c r="AN64" s="639"/>
      <c r="AO64" s="639"/>
      <c r="AP64" s="639"/>
      <c r="AQ64" s="639"/>
      <c r="AR64" s="639"/>
      <c r="AS64" s="639"/>
      <c r="AT64" s="639"/>
      <c r="AU64" s="639"/>
      <c r="AV64" s="639"/>
      <c r="AW64" s="639"/>
      <c r="AX64" s="639"/>
      <c r="AY64" s="639"/>
      <c r="AZ64" s="639"/>
      <c r="BA64" s="639"/>
    </row>
    <row r="65" spans="1:53" x14ac:dyDescent="0.25">
      <c r="A65" t="s">
        <v>63</v>
      </c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39"/>
      <c r="P65" s="639"/>
      <c r="Q65" s="639"/>
      <c r="R65" s="639"/>
      <c r="S65" s="639"/>
      <c r="T65" s="639"/>
      <c r="U65" s="639"/>
      <c r="V65" s="639"/>
      <c r="W65" s="639"/>
      <c r="X65" s="639"/>
      <c r="Y65" s="639"/>
      <c r="Z65" s="639"/>
      <c r="AA65" s="639"/>
      <c r="AB65" s="639"/>
      <c r="AC65" s="639"/>
      <c r="AD65" s="639"/>
      <c r="AE65" s="639"/>
      <c r="AF65" s="639"/>
      <c r="AG65" s="639"/>
      <c r="AH65" s="639"/>
      <c r="AI65" s="639"/>
      <c r="AJ65" s="639"/>
      <c r="AK65" s="639"/>
      <c r="AL65" s="639"/>
      <c r="AM65" s="639"/>
      <c r="AN65" s="639"/>
      <c r="AO65" s="639"/>
      <c r="AP65" s="639"/>
      <c r="AQ65" s="639"/>
      <c r="AR65" s="639"/>
      <c r="AS65" s="639"/>
      <c r="AT65" s="639"/>
      <c r="AU65" s="639"/>
      <c r="AV65" s="639"/>
      <c r="AW65" s="639"/>
      <c r="AX65" s="639"/>
      <c r="AY65" s="639"/>
      <c r="AZ65" s="639"/>
      <c r="BA65" s="639"/>
    </row>
    <row r="66" spans="1:53" x14ac:dyDescent="0.25">
      <c r="A66" t="s">
        <v>1775</v>
      </c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39"/>
      <c r="P66" s="639"/>
      <c r="Q66" s="639"/>
      <c r="R66" s="639"/>
      <c r="S66" s="639"/>
      <c r="T66" s="639"/>
      <c r="U66" s="639"/>
      <c r="V66" s="639"/>
      <c r="W66" s="639"/>
      <c r="X66" s="639"/>
      <c r="Y66" s="639"/>
      <c r="Z66" s="639"/>
      <c r="AA66" s="639"/>
      <c r="AB66" s="639"/>
      <c r="AC66" s="639"/>
      <c r="AD66" s="639"/>
      <c r="AE66" s="639"/>
      <c r="AF66" s="639"/>
      <c r="AG66" s="639"/>
      <c r="AH66" s="639"/>
      <c r="AI66" s="639"/>
      <c r="AJ66" s="639"/>
      <c r="AK66" s="639"/>
      <c r="AL66" s="639"/>
      <c r="AM66" s="639"/>
      <c r="AN66" s="639"/>
      <c r="AO66" s="639"/>
      <c r="AP66" s="639"/>
      <c r="AQ66" s="639"/>
      <c r="AR66" s="639"/>
      <c r="AS66" s="639"/>
      <c r="AT66" s="639"/>
      <c r="AU66" s="639"/>
      <c r="AV66" s="639"/>
      <c r="AW66" s="639"/>
      <c r="AX66" s="639"/>
      <c r="AY66" s="639"/>
      <c r="AZ66" s="639"/>
      <c r="BA66" s="639"/>
    </row>
    <row r="67" spans="1:53" x14ac:dyDescent="0.25">
      <c r="A67" t="s">
        <v>64</v>
      </c>
      <c r="B67" s="639"/>
      <c r="C67" s="639"/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39"/>
      <c r="X67" s="639"/>
      <c r="Y67" s="639"/>
      <c r="Z67" s="639"/>
      <c r="AA67" s="639"/>
      <c r="AB67" s="639"/>
      <c r="AC67" s="639"/>
      <c r="AD67" s="639"/>
      <c r="AE67" s="639"/>
      <c r="AF67" s="639"/>
      <c r="AG67" s="639"/>
      <c r="AH67" s="639"/>
      <c r="AI67" s="639"/>
      <c r="AJ67" s="639"/>
      <c r="AK67" s="639"/>
      <c r="AL67" s="639"/>
      <c r="AM67" s="639"/>
      <c r="AN67" s="639"/>
      <c r="AO67" s="639"/>
      <c r="AP67" s="639"/>
      <c r="AQ67" s="639"/>
      <c r="AR67" s="639"/>
      <c r="AS67" s="639"/>
      <c r="AT67" s="639"/>
      <c r="AU67" s="639"/>
      <c r="AV67" s="639"/>
      <c r="AW67" s="639"/>
      <c r="AX67" s="639"/>
      <c r="AY67" s="639"/>
      <c r="AZ67" s="639"/>
      <c r="BA67" s="639"/>
    </row>
    <row r="68" spans="1:53" x14ac:dyDescent="0.25">
      <c r="A68" t="s">
        <v>65</v>
      </c>
      <c r="B68" s="639"/>
      <c r="C68" s="639"/>
      <c r="D68" s="639"/>
      <c r="E68" s="639"/>
      <c r="F68" s="639"/>
      <c r="G68" s="639"/>
      <c r="H68" s="639"/>
      <c r="I68" s="639"/>
      <c r="J68" s="639"/>
      <c r="K68" s="639"/>
      <c r="L68" s="639"/>
      <c r="M68" s="639"/>
      <c r="N68" s="639"/>
      <c r="O68" s="639"/>
      <c r="P68" s="639"/>
      <c r="Q68" s="639"/>
      <c r="R68" s="639"/>
      <c r="S68" s="639"/>
      <c r="T68" s="639"/>
      <c r="U68" s="639"/>
      <c r="V68" s="639"/>
      <c r="W68" s="639"/>
      <c r="X68" s="639"/>
      <c r="Y68" s="639"/>
      <c r="Z68" s="639"/>
      <c r="AA68" s="639"/>
      <c r="AB68" s="639"/>
      <c r="AC68" s="639"/>
      <c r="AD68" s="639"/>
      <c r="AE68" s="639"/>
      <c r="AF68" s="639"/>
      <c r="AG68" s="639"/>
      <c r="AH68" s="639"/>
      <c r="AI68" s="639"/>
      <c r="AJ68" s="639"/>
      <c r="AK68" s="639"/>
      <c r="AL68" s="639"/>
      <c r="AM68" s="639"/>
      <c r="AN68" s="639"/>
      <c r="AO68" s="639"/>
      <c r="AP68" s="639"/>
      <c r="AQ68" s="639"/>
      <c r="AR68" s="639"/>
      <c r="AS68" s="639"/>
      <c r="AT68" s="639"/>
      <c r="AU68" s="639"/>
      <c r="AV68" s="639"/>
      <c r="AW68" s="639"/>
      <c r="AX68" s="639"/>
      <c r="AY68" s="639"/>
      <c r="AZ68" s="639"/>
      <c r="BA68" s="639"/>
    </row>
    <row r="69" spans="1:53" x14ac:dyDescent="0.25">
      <c r="A69" t="s">
        <v>66</v>
      </c>
      <c r="B69" s="639"/>
      <c r="C69" s="639"/>
      <c r="D69" s="639"/>
      <c r="E69" s="639"/>
      <c r="F69" s="639"/>
      <c r="G69" s="639"/>
      <c r="H69" s="639"/>
      <c r="I69" s="639"/>
      <c r="J69" s="639"/>
      <c r="K69" s="639"/>
      <c r="L69" s="639"/>
      <c r="M69" s="639"/>
      <c r="N69" s="639"/>
      <c r="O69" s="639"/>
      <c r="P69" s="639"/>
      <c r="Q69" s="639"/>
      <c r="R69" s="639"/>
      <c r="S69" s="639"/>
      <c r="T69" s="639"/>
      <c r="U69" s="639"/>
      <c r="V69" s="639"/>
      <c r="W69" s="639"/>
      <c r="X69" s="639"/>
      <c r="Y69" s="639"/>
      <c r="Z69" s="639"/>
      <c r="AA69" s="639"/>
      <c r="AB69" s="639"/>
      <c r="AC69" s="639"/>
      <c r="AD69" s="639"/>
      <c r="AE69" s="639"/>
      <c r="AF69" s="639"/>
      <c r="AG69" s="639"/>
      <c r="AH69" s="639"/>
      <c r="AI69" s="639"/>
      <c r="AJ69" s="639"/>
      <c r="AK69" s="639"/>
      <c r="AL69" s="639"/>
      <c r="AM69" s="639"/>
      <c r="AN69" s="639"/>
      <c r="AO69" s="639"/>
      <c r="AP69" s="639"/>
      <c r="AQ69" s="639"/>
      <c r="AR69" s="639"/>
      <c r="AS69" s="639"/>
      <c r="AT69" s="639"/>
      <c r="AU69" s="639"/>
      <c r="AV69" s="639"/>
      <c r="AW69" s="639"/>
      <c r="AX69" s="639"/>
      <c r="AY69" s="639"/>
      <c r="AZ69" s="639"/>
      <c r="BA69" s="639"/>
    </row>
    <row r="70" spans="1:53" x14ac:dyDescent="0.25">
      <c r="A70" s="321" t="s">
        <v>3088</v>
      </c>
      <c r="B70" s="640">
        <f t="shared" ref="B70:G70" si="3">SUM(B42:B69)</f>
        <v>0</v>
      </c>
      <c r="C70" s="640">
        <f t="shared" si="3"/>
        <v>0</v>
      </c>
      <c r="D70" s="640">
        <f t="shared" si="3"/>
        <v>0</v>
      </c>
      <c r="E70" s="640">
        <f t="shared" si="3"/>
        <v>0</v>
      </c>
      <c r="F70" s="640">
        <f t="shared" si="3"/>
        <v>0</v>
      </c>
      <c r="G70" s="640">
        <f t="shared" si="3"/>
        <v>0</v>
      </c>
      <c r="H70" s="640">
        <f t="shared" ref="H70:BA70" si="4">SUM(H42:H69)</f>
        <v>0</v>
      </c>
      <c r="I70" s="640">
        <f t="shared" si="4"/>
        <v>0</v>
      </c>
      <c r="J70" s="640">
        <f t="shared" si="4"/>
        <v>0</v>
      </c>
      <c r="K70" s="640">
        <f t="shared" si="4"/>
        <v>0</v>
      </c>
      <c r="L70" s="640">
        <f t="shared" si="4"/>
        <v>0</v>
      </c>
      <c r="M70" s="640">
        <f t="shared" si="4"/>
        <v>0</v>
      </c>
      <c r="N70" s="640">
        <f t="shared" si="4"/>
        <v>0</v>
      </c>
      <c r="O70" s="640">
        <f t="shared" si="4"/>
        <v>0</v>
      </c>
      <c r="P70" s="640">
        <f t="shared" si="4"/>
        <v>0</v>
      </c>
      <c r="Q70" s="640">
        <f t="shared" si="4"/>
        <v>0</v>
      </c>
      <c r="R70" s="640">
        <f t="shared" si="4"/>
        <v>0</v>
      </c>
      <c r="S70" s="640">
        <f t="shared" si="4"/>
        <v>0</v>
      </c>
      <c r="T70" s="640">
        <f t="shared" si="4"/>
        <v>0</v>
      </c>
      <c r="U70" s="640">
        <f t="shared" si="4"/>
        <v>0</v>
      </c>
      <c r="V70" s="640">
        <f t="shared" si="4"/>
        <v>0</v>
      </c>
      <c r="W70" s="640">
        <f t="shared" si="4"/>
        <v>0</v>
      </c>
      <c r="X70" s="640">
        <f t="shared" si="4"/>
        <v>0</v>
      </c>
      <c r="Y70" s="640">
        <f t="shared" si="4"/>
        <v>0</v>
      </c>
      <c r="Z70" s="640">
        <f t="shared" si="4"/>
        <v>0</v>
      </c>
      <c r="AA70" s="640">
        <f t="shared" si="4"/>
        <v>0</v>
      </c>
      <c r="AB70" s="640">
        <f t="shared" si="4"/>
        <v>0</v>
      </c>
      <c r="AC70" s="640">
        <f t="shared" si="4"/>
        <v>0</v>
      </c>
      <c r="AD70" s="640">
        <f t="shared" si="4"/>
        <v>0</v>
      </c>
      <c r="AE70" s="640">
        <f t="shared" si="4"/>
        <v>0</v>
      </c>
      <c r="AF70" s="640">
        <f t="shared" si="4"/>
        <v>0</v>
      </c>
      <c r="AG70" s="640">
        <f t="shared" si="4"/>
        <v>0</v>
      </c>
      <c r="AH70" s="640">
        <f t="shared" si="4"/>
        <v>0</v>
      </c>
      <c r="AI70" s="640">
        <f t="shared" si="4"/>
        <v>0</v>
      </c>
      <c r="AJ70" s="640">
        <f t="shared" si="4"/>
        <v>0</v>
      </c>
      <c r="AK70" s="640">
        <f t="shared" si="4"/>
        <v>0</v>
      </c>
      <c r="AL70" s="640">
        <f t="shared" si="4"/>
        <v>0</v>
      </c>
      <c r="AM70" s="640">
        <f t="shared" si="4"/>
        <v>0</v>
      </c>
      <c r="AN70" s="640">
        <f t="shared" si="4"/>
        <v>0</v>
      </c>
      <c r="AO70" s="640">
        <f t="shared" si="4"/>
        <v>0</v>
      </c>
      <c r="AP70" s="640">
        <f t="shared" si="4"/>
        <v>0</v>
      </c>
      <c r="AQ70" s="640">
        <f t="shared" si="4"/>
        <v>0</v>
      </c>
      <c r="AR70" s="640">
        <f t="shared" si="4"/>
        <v>0</v>
      </c>
      <c r="AS70" s="640">
        <f t="shared" si="4"/>
        <v>0</v>
      </c>
      <c r="AT70" s="640">
        <f t="shared" si="4"/>
        <v>0</v>
      </c>
      <c r="AU70" s="640">
        <f t="shared" si="4"/>
        <v>0</v>
      </c>
      <c r="AV70" s="640">
        <f t="shared" si="4"/>
        <v>0</v>
      </c>
      <c r="AW70" s="640">
        <f t="shared" si="4"/>
        <v>0</v>
      </c>
      <c r="AX70" s="640">
        <f t="shared" si="4"/>
        <v>0</v>
      </c>
      <c r="AY70" s="640">
        <f t="shared" si="4"/>
        <v>0</v>
      </c>
      <c r="AZ70" s="640">
        <f t="shared" si="4"/>
        <v>0</v>
      </c>
      <c r="BA70" s="640">
        <f t="shared" si="4"/>
        <v>0</v>
      </c>
    </row>
    <row r="72" spans="1:53" x14ac:dyDescent="0.25">
      <c r="C72" s="28"/>
      <c r="I72" s="28"/>
      <c r="O72" s="28"/>
      <c r="U72" s="28"/>
      <c r="AA72" s="28"/>
      <c r="AG72" s="28"/>
      <c r="AM72" s="28"/>
      <c r="AS72" s="28"/>
      <c r="AY72" s="28"/>
    </row>
    <row r="73" spans="1:53" x14ac:dyDescent="0.25">
      <c r="A73" t="s">
        <v>72</v>
      </c>
      <c r="B73" s="639"/>
      <c r="C73" s="639"/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39"/>
      <c r="X73" s="639"/>
      <c r="Y73" s="639"/>
      <c r="Z73" s="639"/>
      <c r="AA73" s="639"/>
      <c r="AB73" s="639"/>
      <c r="AC73" s="639"/>
      <c r="AD73" s="639"/>
      <c r="AE73" s="639"/>
      <c r="AF73" s="639"/>
      <c r="AG73" s="639"/>
      <c r="AH73" s="639"/>
      <c r="AI73" s="639"/>
      <c r="AJ73" s="639"/>
      <c r="AK73" s="639"/>
      <c r="AL73" s="639"/>
      <c r="AM73" s="639"/>
      <c r="AN73" s="639"/>
      <c r="AO73" s="639"/>
      <c r="AP73" s="639"/>
      <c r="AQ73" s="639"/>
      <c r="AR73" s="639"/>
      <c r="AS73" s="639"/>
      <c r="AT73" s="639"/>
      <c r="AU73" s="639"/>
      <c r="AV73" s="639"/>
      <c r="AW73" s="639"/>
      <c r="AX73" s="639"/>
      <c r="AY73" s="639"/>
      <c r="AZ73" s="639"/>
      <c r="BA73" s="639"/>
    </row>
    <row r="74" spans="1:53" x14ac:dyDescent="0.25">
      <c r="A74" t="s">
        <v>73</v>
      </c>
      <c r="B74" s="639"/>
      <c r="C74" s="639"/>
      <c r="D74" s="639"/>
      <c r="E74" s="639"/>
      <c r="F74" s="639"/>
      <c r="G74" s="639"/>
      <c r="H74" s="639"/>
      <c r="I74" s="639"/>
      <c r="J74" s="639"/>
      <c r="K74" s="639"/>
      <c r="L74" s="639"/>
      <c r="M74" s="639"/>
      <c r="N74" s="639"/>
      <c r="O74" s="639"/>
      <c r="P74" s="639"/>
      <c r="Q74" s="639"/>
      <c r="R74" s="639"/>
      <c r="S74" s="639"/>
      <c r="T74" s="639"/>
      <c r="U74" s="639"/>
      <c r="V74" s="639"/>
      <c r="W74" s="639"/>
      <c r="X74" s="639"/>
      <c r="Y74" s="639"/>
      <c r="Z74" s="639"/>
      <c r="AA74" s="639"/>
      <c r="AB74" s="639"/>
      <c r="AC74" s="639"/>
      <c r="AD74" s="639"/>
      <c r="AE74" s="639"/>
      <c r="AF74" s="639"/>
      <c r="AG74" s="639"/>
      <c r="AH74" s="639"/>
      <c r="AI74" s="639"/>
      <c r="AJ74" s="639"/>
      <c r="AK74" s="639"/>
      <c r="AL74" s="639"/>
      <c r="AM74" s="639"/>
      <c r="AN74" s="639"/>
      <c r="AO74" s="639"/>
      <c r="AP74" s="639"/>
      <c r="AQ74" s="639"/>
      <c r="AR74" s="639"/>
      <c r="AS74" s="639"/>
      <c r="AT74" s="639"/>
      <c r="AU74" s="639"/>
      <c r="AV74" s="639"/>
      <c r="AW74" s="639"/>
      <c r="AX74" s="639"/>
      <c r="AY74" s="639"/>
      <c r="AZ74" s="639"/>
      <c r="BA74" s="639"/>
    </row>
    <row r="75" spans="1:53" x14ac:dyDescent="0.25">
      <c r="A75" t="s">
        <v>74</v>
      </c>
      <c r="B75" s="639"/>
      <c r="C75" s="639"/>
      <c r="D75" s="639"/>
      <c r="E75" s="639"/>
      <c r="F75" s="639"/>
      <c r="G75" s="639"/>
      <c r="H75" s="639"/>
      <c r="I75" s="639"/>
      <c r="J75" s="639"/>
      <c r="K75" s="639"/>
      <c r="L75" s="639"/>
      <c r="M75" s="639"/>
      <c r="N75" s="639"/>
      <c r="O75" s="639"/>
      <c r="P75" s="639"/>
      <c r="Q75" s="639"/>
      <c r="R75" s="639"/>
      <c r="S75" s="639"/>
      <c r="T75" s="639"/>
      <c r="U75" s="639"/>
      <c r="V75" s="639"/>
      <c r="W75" s="639"/>
      <c r="X75" s="639"/>
      <c r="Y75" s="639"/>
      <c r="Z75" s="639"/>
      <c r="AA75" s="639"/>
      <c r="AB75" s="639"/>
      <c r="AC75" s="639"/>
      <c r="AD75" s="639"/>
      <c r="AE75" s="639"/>
      <c r="AF75" s="639"/>
      <c r="AG75" s="639"/>
      <c r="AH75" s="639"/>
      <c r="AI75" s="639"/>
      <c r="AJ75" s="639"/>
      <c r="AK75" s="639"/>
      <c r="AL75" s="639"/>
      <c r="AM75" s="639"/>
      <c r="AN75" s="639"/>
      <c r="AO75" s="639"/>
      <c r="AP75" s="639"/>
      <c r="AQ75" s="639"/>
      <c r="AR75" s="639"/>
      <c r="AS75" s="639"/>
      <c r="AT75" s="639"/>
      <c r="AU75" s="639"/>
      <c r="AV75" s="639"/>
      <c r="AW75" s="639"/>
      <c r="AX75" s="639"/>
      <c r="AY75" s="639"/>
      <c r="AZ75" s="639"/>
      <c r="BA75" s="639"/>
    </row>
    <row r="76" spans="1:53" x14ac:dyDescent="0.25">
      <c r="A76" t="s">
        <v>75</v>
      </c>
      <c r="B76" s="639"/>
      <c r="C76" s="639"/>
      <c r="D76" s="639"/>
      <c r="E76" s="639"/>
      <c r="F76" s="639"/>
      <c r="G76" s="639"/>
      <c r="H76" s="639"/>
      <c r="I76" s="639"/>
      <c r="J76" s="639"/>
      <c r="K76" s="639"/>
      <c r="L76" s="639"/>
      <c r="M76" s="639"/>
      <c r="N76" s="639"/>
      <c r="O76" s="639"/>
      <c r="P76" s="639"/>
      <c r="Q76" s="639"/>
      <c r="R76" s="639"/>
      <c r="S76" s="639"/>
      <c r="T76" s="639"/>
      <c r="U76" s="639"/>
      <c r="V76" s="639"/>
      <c r="W76" s="639"/>
      <c r="X76" s="639"/>
      <c r="Y76" s="639"/>
      <c r="Z76" s="639"/>
      <c r="AA76" s="639"/>
      <c r="AB76" s="639"/>
      <c r="AC76" s="639"/>
      <c r="AD76" s="639"/>
      <c r="AE76" s="639"/>
      <c r="AF76" s="639"/>
      <c r="AG76" s="639"/>
      <c r="AH76" s="639"/>
      <c r="AI76" s="639"/>
      <c r="AJ76" s="639"/>
      <c r="AK76" s="639"/>
      <c r="AL76" s="639"/>
      <c r="AM76" s="639"/>
      <c r="AN76" s="639"/>
      <c r="AO76" s="639"/>
      <c r="AP76" s="639"/>
      <c r="AQ76" s="639"/>
      <c r="AR76" s="639"/>
      <c r="AS76" s="639"/>
      <c r="AT76" s="639"/>
      <c r="AU76" s="639"/>
      <c r="AV76" s="639"/>
      <c r="AW76" s="639"/>
      <c r="AX76" s="639"/>
      <c r="AY76" s="639"/>
      <c r="AZ76" s="639"/>
      <c r="BA76" s="639"/>
    </row>
    <row r="77" spans="1:53" x14ac:dyDescent="0.25">
      <c r="A77" t="s">
        <v>3096</v>
      </c>
      <c r="B77" s="639"/>
      <c r="C77" s="639"/>
      <c r="D77" s="639"/>
      <c r="E77" s="639"/>
      <c r="F77" s="639"/>
      <c r="G77" s="639"/>
      <c r="H77" s="639"/>
      <c r="I77" s="639"/>
      <c r="J77" s="639"/>
      <c r="K77" s="639"/>
      <c r="L77" s="639"/>
      <c r="M77" s="639"/>
      <c r="N77" s="639"/>
      <c r="O77" s="639"/>
      <c r="P77" s="639"/>
      <c r="Q77" s="639"/>
      <c r="R77" s="639"/>
      <c r="S77" s="639"/>
      <c r="T77" s="639"/>
      <c r="U77" s="639"/>
      <c r="V77" s="639"/>
      <c r="W77" s="639"/>
      <c r="X77" s="639"/>
      <c r="Y77" s="639"/>
      <c r="Z77" s="639"/>
      <c r="AA77" s="639"/>
      <c r="AB77" s="639"/>
      <c r="AC77" s="639"/>
      <c r="AD77" s="639"/>
      <c r="AE77" s="639"/>
      <c r="AF77" s="639"/>
      <c r="AG77" s="639"/>
      <c r="AH77" s="639"/>
      <c r="AI77" s="639"/>
      <c r="AJ77" s="639"/>
      <c r="AK77" s="639"/>
      <c r="AL77" s="639"/>
      <c r="AM77" s="639"/>
      <c r="AN77" s="639"/>
      <c r="AO77" s="639"/>
      <c r="AP77" s="639"/>
      <c r="AQ77" s="639"/>
      <c r="AR77" s="639"/>
      <c r="AS77" s="639"/>
      <c r="AT77" s="639"/>
      <c r="AU77" s="639"/>
      <c r="AV77" s="639"/>
      <c r="AW77" s="639"/>
      <c r="AX77" s="639"/>
      <c r="AY77" s="639"/>
      <c r="AZ77" s="639"/>
      <c r="BA77" s="639"/>
    </row>
    <row r="78" spans="1:53" x14ac:dyDescent="0.25">
      <c r="A78" t="s">
        <v>391</v>
      </c>
      <c r="B78" s="639"/>
      <c r="C78" s="639"/>
      <c r="D78" s="639"/>
      <c r="E78" s="639"/>
      <c r="F78" s="639"/>
      <c r="G78" s="639"/>
      <c r="H78" s="639"/>
      <c r="I78" s="639"/>
      <c r="J78" s="639"/>
      <c r="K78" s="639"/>
      <c r="L78" s="639"/>
      <c r="M78" s="639"/>
      <c r="N78" s="639"/>
      <c r="O78" s="639"/>
      <c r="P78" s="639"/>
      <c r="Q78" s="639"/>
      <c r="R78" s="639"/>
      <c r="S78" s="639"/>
      <c r="T78" s="639"/>
      <c r="U78" s="639"/>
      <c r="V78" s="639"/>
      <c r="W78" s="639"/>
      <c r="X78" s="639"/>
      <c r="Y78" s="639"/>
      <c r="Z78" s="639"/>
      <c r="AA78" s="639"/>
      <c r="AB78" s="639"/>
      <c r="AC78" s="639"/>
      <c r="AD78" s="639"/>
      <c r="AE78" s="639"/>
      <c r="AF78" s="639"/>
      <c r="AG78" s="639"/>
      <c r="AH78" s="639"/>
      <c r="AI78" s="639"/>
      <c r="AJ78" s="639"/>
      <c r="AK78" s="639"/>
      <c r="AL78" s="639"/>
      <c r="AM78" s="639"/>
      <c r="AN78" s="639"/>
      <c r="AO78" s="639"/>
      <c r="AP78" s="639"/>
      <c r="AQ78" s="639"/>
      <c r="AR78" s="639"/>
      <c r="AS78" s="639"/>
      <c r="AT78" s="639"/>
      <c r="AU78" s="639"/>
      <c r="AV78" s="639"/>
      <c r="AW78" s="639"/>
      <c r="AX78" s="639"/>
      <c r="AY78" s="639"/>
      <c r="AZ78" s="639"/>
      <c r="BA78" s="639"/>
    </row>
    <row r="79" spans="1:53" x14ac:dyDescent="0.25">
      <c r="A79" t="s">
        <v>392</v>
      </c>
      <c r="B79" s="639"/>
      <c r="C79" s="639"/>
      <c r="D79" s="639"/>
      <c r="E79" s="639"/>
      <c r="F79" s="639"/>
      <c r="G79" s="639"/>
      <c r="H79" s="639"/>
      <c r="I79" s="639"/>
      <c r="J79" s="639"/>
      <c r="K79" s="639"/>
      <c r="L79" s="639"/>
      <c r="M79" s="639"/>
      <c r="N79" s="639"/>
      <c r="O79" s="639"/>
      <c r="P79" s="639"/>
      <c r="Q79" s="639"/>
      <c r="R79" s="639"/>
      <c r="S79" s="639"/>
      <c r="T79" s="639"/>
      <c r="U79" s="639"/>
      <c r="V79" s="639"/>
      <c r="W79" s="639"/>
      <c r="X79" s="639"/>
      <c r="Y79" s="639"/>
      <c r="Z79" s="639"/>
      <c r="AA79" s="639"/>
      <c r="AB79" s="639"/>
      <c r="AC79" s="639"/>
      <c r="AD79" s="639"/>
      <c r="AE79" s="639"/>
      <c r="AF79" s="639"/>
      <c r="AG79" s="639"/>
      <c r="AH79" s="639"/>
      <c r="AI79" s="639"/>
      <c r="AJ79" s="639"/>
      <c r="AK79" s="639"/>
      <c r="AL79" s="639"/>
      <c r="AM79" s="639"/>
      <c r="AN79" s="639"/>
      <c r="AO79" s="639"/>
      <c r="AP79" s="639"/>
      <c r="AQ79" s="639"/>
      <c r="AR79" s="639"/>
      <c r="AS79" s="639"/>
      <c r="AT79" s="639"/>
      <c r="AU79" s="639"/>
      <c r="AV79" s="639"/>
      <c r="AW79" s="639"/>
      <c r="AX79" s="639"/>
      <c r="AY79" s="639"/>
      <c r="AZ79" s="639"/>
      <c r="BA79" s="639"/>
    </row>
    <row r="80" spans="1:53" x14ac:dyDescent="0.25">
      <c r="A80" t="s">
        <v>76</v>
      </c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39"/>
      <c r="P80" s="639"/>
      <c r="Q80" s="639"/>
      <c r="R80" s="639"/>
      <c r="S80" s="639"/>
      <c r="T80" s="639"/>
      <c r="U80" s="639"/>
      <c r="V80" s="639"/>
      <c r="W80" s="639"/>
      <c r="X80" s="639"/>
      <c r="Y80" s="639"/>
      <c r="Z80" s="639"/>
      <c r="AA80" s="639"/>
      <c r="AB80" s="639"/>
      <c r="AC80" s="639"/>
      <c r="AD80" s="639"/>
      <c r="AE80" s="639"/>
      <c r="AF80" s="639"/>
      <c r="AG80" s="639"/>
      <c r="AH80" s="639"/>
      <c r="AI80" s="639"/>
      <c r="AJ80" s="639"/>
      <c r="AK80" s="639"/>
      <c r="AL80" s="639"/>
      <c r="AM80" s="639"/>
      <c r="AN80" s="639"/>
      <c r="AO80" s="639"/>
      <c r="AP80" s="639"/>
      <c r="AQ80" s="639"/>
      <c r="AR80" s="639"/>
      <c r="AS80" s="639"/>
      <c r="AT80" s="639"/>
      <c r="AU80" s="639"/>
      <c r="AV80" s="639"/>
      <c r="AW80" s="639"/>
      <c r="AX80" s="639"/>
      <c r="AY80" s="639"/>
      <c r="AZ80" s="639"/>
      <c r="BA80" s="639"/>
    </row>
    <row r="81" spans="1:53" x14ac:dyDescent="0.25">
      <c r="A81" t="s">
        <v>3089</v>
      </c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39"/>
      <c r="P81" s="639"/>
      <c r="Q81" s="639"/>
      <c r="R81" s="639"/>
      <c r="S81" s="639"/>
      <c r="T81" s="639"/>
      <c r="U81" s="639"/>
      <c r="V81" s="639"/>
      <c r="W81" s="639"/>
      <c r="X81" s="639"/>
      <c r="Y81" s="639"/>
      <c r="Z81" s="639"/>
      <c r="AA81" s="639"/>
      <c r="AB81" s="639"/>
      <c r="AC81" s="639"/>
      <c r="AD81" s="639"/>
      <c r="AE81" s="639"/>
      <c r="AF81" s="639"/>
      <c r="AG81" s="639"/>
      <c r="AH81" s="639"/>
      <c r="AI81" s="639"/>
      <c r="AJ81" s="639"/>
      <c r="AK81" s="639"/>
      <c r="AL81" s="639"/>
      <c r="AM81" s="639"/>
      <c r="AN81" s="639"/>
      <c r="AO81" s="639"/>
      <c r="AP81" s="639"/>
      <c r="AQ81" s="639"/>
      <c r="AR81" s="639"/>
      <c r="AS81" s="639"/>
      <c r="AT81" s="639"/>
      <c r="AU81" s="639"/>
      <c r="AV81" s="639"/>
      <c r="AW81" s="639"/>
      <c r="AX81" s="639"/>
      <c r="AY81" s="639"/>
      <c r="AZ81" s="639"/>
      <c r="BA81" s="639"/>
    </row>
    <row r="82" spans="1:53" x14ac:dyDescent="0.25">
      <c r="A82" t="s">
        <v>78</v>
      </c>
      <c r="B82" s="63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39"/>
      <c r="Q82" s="639"/>
      <c r="R82" s="639"/>
      <c r="S82" s="639"/>
      <c r="T82" s="639"/>
      <c r="U82" s="639"/>
      <c r="V82" s="639"/>
      <c r="W82" s="639"/>
      <c r="X82" s="639"/>
      <c r="Y82" s="639"/>
      <c r="Z82" s="639"/>
      <c r="AA82" s="639"/>
      <c r="AB82" s="639"/>
      <c r="AC82" s="639"/>
      <c r="AD82" s="639"/>
      <c r="AE82" s="639"/>
      <c r="AF82" s="639"/>
      <c r="AG82" s="639"/>
      <c r="AH82" s="639"/>
      <c r="AI82" s="639"/>
      <c r="AJ82" s="639"/>
      <c r="AK82" s="639"/>
      <c r="AL82" s="639"/>
      <c r="AM82" s="639"/>
      <c r="AN82" s="639"/>
      <c r="AO82" s="639"/>
      <c r="AP82" s="639"/>
      <c r="AQ82" s="639"/>
      <c r="AR82" s="639"/>
      <c r="AS82" s="639"/>
      <c r="AT82" s="639"/>
      <c r="AU82" s="639"/>
      <c r="AV82" s="639"/>
      <c r="AW82" s="639"/>
      <c r="AX82" s="639"/>
      <c r="AY82" s="639"/>
      <c r="AZ82" s="639"/>
      <c r="BA82" s="639"/>
    </row>
    <row r="83" spans="1:53" x14ac:dyDescent="0.25">
      <c r="A83" t="s">
        <v>79</v>
      </c>
      <c r="B83" s="639"/>
      <c r="C83" s="639"/>
      <c r="D83" s="639"/>
      <c r="E83" s="639"/>
      <c r="F83" s="639"/>
      <c r="G83" s="639"/>
      <c r="H83" s="639"/>
      <c r="I83" s="639"/>
      <c r="J83" s="639"/>
      <c r="K83" s="639"/>
      <c r="L83" s="639"/>
      <c r="M83" s="639"/>
      <c r="N83" s="639"/>
      <c r="O83" s="639"/>
      <c r="P83" s="639"/>
      <c r="Q83" s="639"/>
      <c r="R83" s="639"/>
      <c r="S83" s="639"/>
      <c r="T83" s="639"/>
      <c r="U83" s="639"/>
      <c r="V83" s="639"/>
      <c r="W83" s="639"/>
      <c r="X83" s="639"/>
      <c r="Y83" s="639"/>
      <c r="Z83" s="639"/>
      <c r="AA83" s="639"/>
      <c r="AB83" s="639"/>
      <c r="AC83" s="639"/>
      <c r="AD83" s="639"/>
      <c r="AE83" s="639"/>
      <c r="AF83" s="639"/>
      <c r="AG83" s="639"/>
      <c r="AH83" s="639"/>
      <c r="AI83" s="639"/>
      <c r="AJ83" s="639"/>
      <c r="AK83" s="639"/>
      <c r="AL83" s="639"/>
      <c r="AM83" s="639"/>
      <c r="AN83" s="639"/>
      <c r="AO83" s="639"/>
      <c r="AP83" s="639"/>
      <c r="AQ83" s="639"/>
      <c r="AR83" s="639"/>
      <c r="AS83" s="639"/>
      <c r="AT83" s="639"/>
      <c r="AU83" s="639"/>
      <c r="AV83" s="639"/>
      <c r="AW83" s="639"/>
      <c r="AX83" s="639"/>
      <c r="AY83" s="639"/>
      <c r="AZ83" s="639"/>
      <c r="BA83" s="639"/>
    </row>
    <row r="84" spans="1:53" x14ac:dyDescent="0.25">
      <c r="A84" t="s">
        <v>80</v>
      </c>
      <c r="B84" s="639"/>
      <c r="C84" s="639"/>
      <c r="D84" s="639"/>
      <c r="E84" s="639"/>
      <c r="F84" s="639"/>
      <c r="G84" s="639"/>
      <c r="H84" s="639"/>
      <c r="I84" s="639"/>
      <c r="J84" s="639"/>
      <c r="K84" s="639"/>
      <c r="L84" s="639"/>
      <c r="M84" s="639"/>
      <c r="N84" s="639"/>
      <c r="O84" s="639"/>
      <c r="P84" s="639"/>
      <c r="Q84" s="639"/>
      <c r="R84" s="639"/>
      <c r="S84" s="639"/>
      <c r="T84" s="639"/>
      <c r="U84" s="639"/>
      <c r="V84" s="639"/>
      <c r="W84" s="639"/>
      <c r="X84" s="639"/>
      <c r="Y84" s="639"/>
      <c r="Z84" s="639"/>
      <c r="AA84" s="639"/>
      <c r="AB84" s="639"/>
      <c r="AC84" s="639"/>
      <c r="AD84" s="639"/>
      <c r="AE84" s="639"/>
      <c r="AF84" s="639"/>
      <c r="AG84" s="639"/>
      <c r="AH84" s="639"/>
      <c r="AI84" s="639"/>
      <c r="AJ84" s="639"/>
      <c r="AK84" s="639"/>
      <c r="AL84" s="639"/>
      <c r="AM84" s="639"/>
      <c r="AN84" s="639"/>
      <c r="AO84" s="639"/>
      <c r="AP84" s="639"/>
      <c r="AQ84" s="639"/>
      <c r="AR84" s="639"/>
      <c r="AS84" s="639"/>
      <c r="AT84" s="639"/>
      <c r="AU84" s="639"/>
      <c r="AV84" s="639"/>
      <c r="AW84" s="639"/>
      <c r="AX84" s="639"/>
      <c r="AY84" s="639"/>
      <c r="AZ84" s="639"/>
      <c r="BA84" s="639"/>
    </row>
    <row r="85" spans="1:53" x14ac:dyDescent="0.25">
      <c r="A85" t="s">
        <v>81</v>
      </c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39"/>
      <c r="P85" s="639"/>
      <c r="Q85" s="639"/>
      <c r="R85" s="639"/>
      <c r="S85" s="639"/>
      <c r="T85" s="639"/>
      <c r="U85" s="639"/>
      <c r="V85" s="639"/>
      <c r="W85" s="639"/>
      <c r="X85" s="639"/>
      <c r="Y85" s="639"/>
      <c r="Z85" s="639"/>
      <c r="AA85" s="639"/>
      <c r="AB85" s="639"/>
      <c r="AC85" s="639"/>
      <c r="AD85" s="639"/>
      <c r="AE85" s="639"/>
      <c r="AF85" s="639"/>
      <c r="AG85" s="639"/>
      <c r="AH85" s="639"/>
      <c r="AI85" s="639"/>
      <c r="AJ85" s="639"/>
      <c r="AK85" s="639"/>
      <c r="AL85" s="639"/>
      <c r="AM85" s="639"/>
      <c r="AN85" s="639"/>
      <c r="AO85" s="639"/>
      <c r="AP85" s="639"/>
      <c r="AQ85" s="639"/>
      <c r="AR85" s="639"/>
      <c r="AS85" s="639"/>
      <c r="AT85" s="639"/>
      <c r="AU85" s="639"/>
      <c r="AV85" s="639"/>
      <c r="AW85" s="639"/>
      <c r="AX85" s="639"/>
      <c r="AY85" s="639"/>
      <c r="AZ85" s="639"/>
      <c r="BA85" s="639"/>
    </row>
    <row r="86" spans="1:53" x14ac:dyDescent="0.25">
      <c r="A86" t="s">
        <v>83</v>
      </c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39"/>
      <c r="P86" s="639"/>
      <c r="Q86" s="639"/>
      <c r="R86" s="639"/>
      <c r="S86" s="639"/>
      <c r="T86" s="639"/>
      <c r="U86" s="639"/>
      <c r="V86" s="639"/>
      <c r="W86" s="639"/>
      <c r="X86" s="639"/>
      <c r="Y86" s="639"/>
      <c r="Z86" s="639"/>
      <c r="AA86" s="639"/>
      <c r="AB86" s="639"/>
      <c r="AC86" s="639"/>
      <c r="AD86" s="639"/>
      <c r="AE86" s="639"/>
      <c r="AF86" s="639"/>
      <c r="AG86" s="639"/>
      <c r="AH86" s="639"/>
      <c r="AI86" s="639"/>
      <c r="AJ86" s="639"/>
      <c r="AK86" s="639"/>
      <c r="AL86" s="639"/>
      <c r="AM86" s="639"/>
      <c r="AN86" s="639"/>
      <c r="AO86" s="639"/>
      <c r="AP86" s="639"/>
      <c r="AQ86" s="639"/>
      <c r="AR86" s="639"/>
      <c r="AS86" s="639"/>
      <c r="AT86" s="639"/>
      <c r="AU86" s="639"/>
      <c r="AV86" s="639"/>
      <c r="AW86" s="639"/>
      <c r="AX86" s="639"/>
      <c r="AY86" s="639"/>
      <c r="AZ86" s="639"/>
      <c r="BA86" s="639"/>
    </row>
    <row r="87" spans="1:53" x14ac:dyDescent="0.25">
      <c r="A87" t="s">
        <v>84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39"/>
      <c r="AB87" s="639"/>
      <c r="AC87" s="639"/>
      <c r="AD87" s="639"/>
      <c r="AE87" s="639"/>
      <c r="AF87" s="639"/>
      <c r="AG87" s="639"/>
      <c r="AH87" s="639"/>
      <c r="AI87" s="639"/>
      <c r="AJ87" s="639"/>
      <c r="AK87" s="639"/>
      <c r="AL87" s="639"/>
      <c r="AM87" s="639"/>
      <c r="AN87" s="639"/>
      <c r="AO87" s="639"/>
      <c r="AP87" s="639"/>
      <c r="AQ87" s="639"/>
      <c r="AR87" s="639"/>
      <c r="AS87" s="639"/>
      <c r="AT87" s="639"/>
      <c r="AU87" s="639"/>
      <c r="AV87" s="639"/>
      <c r="AW87" s="639"/>
      <c r="AX87" s="639"/>
      <c r="AY87" s="639"/>
      <c r="AZ87" s="639"/>
      <c r="BA87" s="639"/>
    </row>
    <row r="88" spans="1:53" x14ac:dyDescent="0.25">
      <c r="A88" t="s">
        <v>85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39"/>
      <c r="W88" s="639"/>
      <c r="X88" s="639"/>
      <c r="Y88" s="639"/>
      <c r="Z88" s="639"/>
      <c r="AA88" s="639"/>
      <c r="AB88" s="639"/>
      <c r="AC88" s="639"/>
      <c r="AD88" s="639"/>
      <c r="AE88" s="639"/>
      <c r="AF88" s="639"/>
      <c r="AG88" s="639"/>
      <c r="AH88" s="639"/>
      <c r="AI88" s="639"/>
      <c r="AJ88" s="639"/>
      <c r="AK88" s="639"/>
      <c r="AL88" s="639"/>
      <c r="AM88" s="639"/>
      <c r="AN88" s="639"/>
      <c r="AO88" s="639"/>
      <c r="AP88" s="639"/>
      <c r="AQ88" s="639"/>
      <c r="AR88" s="639"/>
      <c r="AS88" s="639"/>
      <c r="AT88" s="639"/>
      <c r="AU88" s="639"/>
      <c r="AV88" s="639"/>
      <c r="AW88" s="639"/>
      <c r="AX88" s="639"/>
      <c r="AY88" s="639"/>
      <c r="AZ88" s="639"/>
      <c r="BA88" s="639"/>
    </row>
    <row r="89" spans="1:53" x14ac:dyDescent="0.25">
      <c r="A89" t="s">
        <v>3090</v>
      </c>
      <c r="B89" s="639"/>
      <c r="C89" s="639"/>
      <c r="D89" s="639"/>
      <c r="E89" s="639"/>
      <c r="F89" s="639"/>
      <c r="G89" s="639"/>
      <c r="H89" s="639"/>
      <c r="I89" s="639"/>
      <c r="J89" s="639"/>
      <c r="K89" s="639"/>
      <c r="L89" s="639"/>
      <c r="M89" s="639"/>
      <c r="N89" s="639"/>
      <c r="O89" s="639"/>
      <c r="P89" s="639"/>
      <c r="Q89" s="639"/>
      <c r="R89" s="639"/>
      <c r="S89" s="639"/>
      <c r="T89" s="639"/>
      <c r="U89" s="639"/>
      <c r="V89" s="639"/>
      <c r="W89" s="639"/>
      <c r="X89" s="639"/>
      <c r="Y89" s="639"/>
      <c r="Z89" s="639"/>
      <c r="AA89" s="639"/>
      <c r="AB89" s="639"/>
      <c r="AC89" s="639"/>
      <c r="AD89" s="639"/>
      <c r="AE89" s="639"/>
      <c r="AF89" s="639"/>
      <c r="AG89" s="639"/>
      <c r="AH89" s="639"/>
      <c r="AI89" s="639"/>
      <c r="AJ89" s="639"/>
      <c r="AK89" s="639"/>
      <c r="AL89" s="639"/>
      <c r="AM89" s="639"/>
      <c r="AN89" s="639"/>
      <c r="AO89" s="639"/>
      <c r="AP89" s="639"/>
      <c r="AQ89" s="639"/>
      <c r="AR89" s="639"/>
      <c r="AS89" s="639"/>
      <c r="AT89" s="639"/>
      <c r="AU89" s="639"/>
      <c r="AV89" s="639"/>
      <c r="AW89" s="639"/>
      <c r="AX89" s="639"/>
      <c r="AY89" s="639"/>
      <c r="AZ89" s="639"/>
      <c r="BA89" s="639"/>
    </row>
    <row r="90" spans="1:53" x14ac:dyDescent="0.25">
      <c r="A90" t="s">
        <v>88</v>
      </c>
      <c r="B90" s="639"/>
      <c r="C90" s="639"/>
      <c r="D90" s="639"/>
      <c r="E90" s="639"/>
      <c r="F90" s="639"/>
      <c r="G90" s="639"/>
      <c r="H90" s="639"/>
      <c r="I90" s="639"/>
      <c r="J90" s="639"/>
      <c r="K90" s="639"/>
      <c r="L90" s="639"/>
      <c r="M90" s="639"/>
      <c r="N90" s="639"/>
      <c r="O90" s="639"/>
      <c r="P90" s="639"/>
      <c r="Q90" s="639"/>
      <c r="R90" s="639"/>
      <c r="S90" s="639"/>
      <c r="T90" s="639"/>
      <c r="U90" s="639"/>
      <c r="V90" s="639"/>
      <c r="W90" s="639"/>
      <c r="X90" s="639"/>
      <c r="Y90" s="639"/>
      <c r="Z90" s="639"/>
      <c r="AA90" s="639"/>
      <c r="AB90" s="639"/>
      <c r="AC90" s="639"/>
      <c r="AD90" s="639"/>
      <c r="AE90" s="639"/>
      <c r="AF90" s="639"/>
      <c r="AG90" s="639"/>
      <c r="AH90" s="639"/>
      <c r="AI90" s="639"/>
      <c r="AJ90" s="639"/>
      <c r="AK90" s="639"/>
      <c r="AL90" s="639"/>
      <c r="AM90" s="639"/>
      <c r="AN90" s="639"/>
      <c r="AO90" s="639"/>
      <c r="AP90" s="639"/>
      <c r="AQ90" s="639"/>
      <c r="AR90" s="639"/>
      <c r="AS90" s="639"/>
      <c r="AT90" s="639"/>
      <c r="AU90" s="639"/>
      <c r="AV90" s="639"/>
      <c r="AW90" s="639"/>
      <c r="AX90" s="639"/>
      <c r="AY90" s="639"/>
      <c r="AZ90" s="639"/>
      <c r="BA90" s="639"/>
    </row>
    <row r="91" spans="1:53" x14ac:dyDescent="0.25">
      <c r="A91" t="s">
        <v>89</v>
      </c>
      <c r="B91" s="639"/>
      <c r="C91" s="639"/>
      <c r="D91" s="639"/>
      <c r="E91" s="639"/>
      <c r="F91" s="639"/>
      <c r="G91" s="639"/>
      <c r="H91" s="639"/>
      <c r="I91" s="639"/>
      <c r="J91" s="639"/>
      <c r="K91" s="639"/>
      <c r="L91" s="639"/>
      <c r="M91" s="639"/>
      <c r="N91" s="639"/>
      <c r="O91" s="639"/>
      <c r="P91" s="639"/>
      <c r="Q91" s="639"/>
      <c r="R91" s="639"/>
      <c r="S91" s="639"/>
      <c r="T91" s="639"/>
      <c r="U91" s="639"/>
      <c r="V91" s="639"/>
      <c r="W91" s="639"/>
      <c r="X91" s="639"/>
      <c r="Y91" s="639"/>
      <c r="Z91" s="639"/>
      <c r="AA91" s="639"/>
      <c r="AB91" s="639"/>
      <c r="AC91" s="639"/>
      <c r="AD91" s="639"/>
      <c r="AE91" s="639"/>
      <c r="AF91" s="639"/>
      <c r="AG91" s="639"/>
      <c r="AH91" s="639"/>
      <c r="AI91" s="639"/>
      <c r="AJ91" s="639"/>
      <c r="AK91" s="639"/>
      <c r="AL91" s="639"/>
      <c r="AM91" s="639"/>
      <c r="AN91" s="639"/>
      <c r="AO91" s="639"/>
      <c r="AP91" s="639"/>
      <c r="AQ91" s="639"/>
      <c r="AR91" s="639"/>
      <c r="AS91" s="639"/>
      <c r="AT91" s="639"/>
      <c r="AU91" s="639"/>
      <c r="AV91" s="639"/>
      <c r="AW91" s="639"/>
      <c r="AX91" s="639"/>
      <c r="AY91" s="639"/>
      <c r="AZ91" s="639"/>
      <c r="BA91" s="639"/>
    </row>
    <row r="92" spans="1:53" x14ac:dyDescent="0.25">
      <c r="A92" t="s">
        <v>90</v>
      </c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39"/>
      <c r="P92" s="639"/>
      <c r="Q92" s="639"/>
      <c r="R92" s="639"/>
      <c r="S92" s="639"/>
      <c r="T92" s="639"/>
      <c r="U92" s="639"/>
      <c r="V92" s="639"/>
      <c r="W92" s="639"/>
      <c r="X92" s="639"/>
      <c r="Y92" s="639"/>
      <c r="Z92" s="639"/>
      <c r="AA92" s="639"/>
      <c r="AB92" s="639"/>
      <c r="AC92" s="639"/>
      <c r="AD92" s="639"/>
      <c r="AE92" s="639"/>
      <c r="AF92" s="639"/>
      <c r="AG92" s="639"/>
      <c r="AH92" s="639"/>
      <c r="AI92" s="639"/>
      <c r="AJ92" s="639"/>
      <c r="AK92" s="639"/>
      <c r="AL92" s="639"/>
      <c r="AM92" s="639"/>
      <c r="AN92" s="639"/>
      <c r="AO92" s="639"/>
      <c r="AP92" s="639"/>
      <c r="AQ92" s="639"/>
      <c r="AR92" s="639"/>
      <c r="AS92" s="639"/>
      <c r="AT92" s="639"/>
      <c r="AU92" s="639"/>
      <c r="AV92" s="639"/>
      <c r="AW92" s="639"/>
      <c r="AX92" s="639"/>
      <c r="AY92" s="639"/>
      <c r="AZ92" s="639"/>
      <c r="BA92" s="639"/>
    </row>
    <row r="93" spans="1:53" x14ac:dyDescent="0.25">
      <c r="A93" t="s">
        <v>91</v>
      </c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39"/>
      <c r="P93" s="639"/>
      <c r="Q93" s="639"/>
      <c r="R93" s="639"/>
      <c r="S93" s="639"/>
      <c r="T93" s="639"/>
      <c r="U93" s="639"/>
      <c r="V93" s="639"/>
      <c r="W93" s="639"/>
      <c r="X93" s="639"/>
      <c r="Y93" s="639"/>
      <c r="Z93" s="639"/>
      <c r="AA93" s="639"/>
      <c r="AB93" s="639"/>
      <c r="AC93" s="639"/>
      <c r="AD93" s="639"/>
      <c r="AE93" s="639"/>
      <c r="AF93" s="639"/>
      <c r="AG93" s="639"/>
      <c r="AH93" s="639"/>
      <c r="AI93" s="639"/>
      <c r="AJ93" s="639"/>
      <c r="AK93" s="639"/>
      <c r="AL93" s="639"/>
      <c r="AM93" s="639"/>
      <c r="AN93" s="639"/>
      <c r="AO93" s="639"/>
      <c r="AP93" s="639"/>
      <c r="AQ93" s="639"/>
      <c r="AR93" s="639"/>
      <c r="AS93" s="639"/>
      <c r="AT93" s="639"/>
      <c r="AU93" s="639"/>
      <c r="AV93" s="639"/>
      <c r="AW93" s="639"/>
      <c r="AX93" s="639"/>
      <c r="AY93" s="639"/>
      <c r="AZ93" s="639"/>
      <c r="BA93" s="639"/>
    </row>
    <row r="94" spans="1:53" x14ac:dyDescent="0.25">
      <c r="A94" t="s">
        <v>93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39"/>
      <c r="N94" s="639"/>
      <c r="O94" s="639"/>
      <c r="P94" s="639"/>
      <c r="Q94" s="639"/>
      <c r="R94" s="639"/>
      <c r="S94" s="639"/>
      <c r="T94" s="639"/>
      <c r="U94" s="639"/>
      <c r="V94" s="639"/>
      <c r="W94" s="639"/>
      <c r="X94" s="639"/>
      <c r="Y94" s="639"/>
      <c r="Z94" s="639"/>
      <c r="AA94" s="639"/>
      <c r="AB94" s="639"/>
      <c r="AC94" s="639"/>
      <c r="AD94" s="639"/>
      <c r="AE94" s="639"/>
      <c r="AF94" s="639"/>
      <c r="AG94" s="639"/>
      <c r="AH94" s="639"/>
      <c r="AI94" s="639"/>
      <c r="AJ94" s="639"/>
      <c r="AK94" s="639"/>
      <c r="AL94" s="639"/>
      <c r="AM94" s="639"/>
      <c r="AN94" s="639"/>
      <c r="AO94" s="639"/>
      <c r="AP94" s="639"/>
      <c r="AQ94" s="639"/>
      <c r="AR94" s="639"/>
      <c r="AS94" s="639"/>
      <c r="AT94" s="639"/>
      <c r="AU94" s="639"/>
      <c r="AV94" s="639"/>
      <c r="AW94" s="639"/>
      <c r="AX94" s="639"/>
      <c r="AY94" s="639"/>
      <c r="AZ94" s="639"/>
      <c r="BA94" s="639"/>
    </row>
    <row r="95" spans="1:53" x14ac:dyDescent="0.25">
      <c r="A95" t="s">
        <v>94</v>
      </c>
      <c r="B95" s="639"/>
      <c r="C95" s="639"/>
      <c r="D95" s="639"/>
      <c r="E95" s="639"/>
      <c r="F95" s="639"/>
      <c r="G95" s="639"/>
      <c r="H95" s="639"/>
      <c r="I95" s="639"/>
      <c r="J95" s="639"/>
      <c r="K95" s="639"/>
      <c r="L95" s="639"/>
      <c r="M95" s="639"/>
      <c r="N95" s="639"/>
      <c r="O95" s="639"/>
      <c r="P95" s="639"/>
      <c r="Q95" s="639"/>
      <c r="R95" s="639"/>
      <c r="S95" s="639"/>
      <c r="T95" s="639"/>
      <c r="U95" s="639"/>
      <c r="V95" s="639"/>
      <c r="W95" s="639"/>
      <c r="X95" s="639"/>
      <c r="Y95" s="639"/>
      <c r="Z95" s="639"/>
      <c r="AA95" s="639"/>
      <c r="AB95" s="639"/>
      <c r="AC95" s="639"/>
      <c r="AD95" s="639"/>
      <c r="AE95" s="639"/>
      <c r="AF95" s="639"/>
      <c r="AG95" s="639"/>
      <c r="AH95" s="639"/>
      <c r="AI95" s="639"/>
      <c r="AJ95" s="639"/>
      <c r="AK95" s="639"/>
      <c r="AL95" s="639"/>
      <c r="AM95" s="639"/>
      <c r="AN95" s="639"/>
      <c r="AO95" s="639"/>
      <c r="AP95" s="639"/>
      <c r="AQ95" s="639"/>
      <c r="AR95" s="639"/>
      <c r="AS95" s="639"/>
      <c r="AT95" s="639"/>
      <c r="AU95" s="639"/>
      <c r="AV95" s="639"/>
      <c r="AW95" s="639"/>
      <c r="AX95" s="639"/>
      <c r="AY95" s="639"/>
      <c r="AZ95" s="639"/>
      <c r="BA95" s="639"/>
    </row>
    <row r="96" spans="1:53" x14ac:dyDescent="0.25">
      <c r="A96" t="s">
        <v>95</v>
      </c>
      <c r="B96" s="639"/>
      <c r="C96" s="639"/>
      <c r="D96" s="639"/>
      <c r="E96" s="639"/>
      <c r="F96" s="639"/>
      <c r="G96" s="639"/>
      <c r="H96" s="639"/>
      <c r="I96" s="639"/>
      <c r="J96" s="639"/>
      <c r="K96" s="639"/>
      <c r="L96" s="639"/>
      <c r="M96" s="639"/>
      <c r="N96" s="639"/>
      <c r="O96" s="639"/>
      <c r="P96" s="639"/>
      <c r="Q96" s="639"/>
      <c r="R96" s="639"/>
      <c r="S96" s="639"/>
      <c r="T96" s="639"/>
      <c r="U96" s="639"/>
      <c r="V96" s="639"/>
      <c r="W96" s="639"/>
      <c r="X96" s="639"/>
      <c r="Y96" s="639"/>
      <c r="Z96" s="639"/>
      <c r="AA96" s="639"/>
      <c r="AB96" s="639"/>
      <c r="AC96" s="639"/>
      <c r="AD96" s="639"/>
      <c r="AE96" s="639"/>
      <c r="AF96" s="639"/>
      <c r="AG96" s="639"/>
      <c r="AH96" s="639"/>
      <c r="AI96" s="639"/>
      <c r="AJ96" s="639"/>
      <c r="AK96" s="639"/>
      <c r="AL96" s="639"/>
      <c r="AM96" s="639"/>
      <c r="AN96" s="639"/>
      <c r="AO96" s="639"/>
      <c r="AP96" s="639"/>
      <c r="AQ96" s="639"/>
      <c r="AR96" s="639"/>
      <c r="AS96" s="639"/>
      <c r="AT96" s="639"/>
      <c r="AU96" s="639"/>
      <c r="AV96" s="639"/>
      <c r="AW96" s="639"/>
      <c r="AX96" s="639"/>
      <c r="AY96" s="639"/>
      <c r="AZ96" s="639"/>
      <c r="BA96" s="639"/>
    </row>
    <row r="97" spans="1:53" x14ac:dyDescent="0.25">
      <c r="A97" t="s">
        <v>96</v>
      </c>
      <c r="B97" s="639"/>
      <c r="C97" s="639"/>
      <c r="D97" s="639"/>
      <c r="E97" s="639"/>
      <c r="F97" s="639"/>
      <c r="G97" s="639"/>
      <c r="H97" s="639"/>
      <c r="I97" s="639"/>
      <c r="J97" s="639"/>
      <c r="K97" s="639"/>
      <c r="L97" s="639"/>
      <c r="M97" s="639"/>
      <c r="N97" s="639"/>
      <c r="O97" s="639"/>
      <c r="P97" s="639"/>
      <c r="Q97" s="639"/>
      <c r="R97" s="639"/>
      <c r="S97" s="639"/>
      <c r="T97" s="639"/>
      <c r="U97" s="639"/>
      <c r="V97" s="639"/>
      <c r="W97" s="639"/>
      <c r="X97" s="639"/>
      <c r="Y97" s="639"/>
      <c r="Z97" s="639"/>
      <c r="AA97" s="639"/>
      <c r="AB97" s="639"/>
      <c r="AC97" s="639"/>
      <c r="AD97" s="639"/>
      <c r="AE97" s="639"/>
      <c r="AF97" s="639"/>
      <c r="AG97" s="639"/>
      <c r="AH97" s="639"/>
      <c r="AI97" s="639"/>
      <c r="AJ97" s="639"/>
      <c r="AK97" s="639"/>
      <c r="AL97" s="639"/>
      <c r="AM97" s="639"/>
      <c r="AN97" s="639"/>
      <c r="AO97" s="639"/>
      <c r="AP97" s="639"/>
      <c r="AQ97" s="639"/>
      <c r="AR97" s="639"/>
      <c r="AS97" s="639"/>
      <c r="AT97" s="639"/>
      <c r="AU97" s="639"/>
      <c r="AV97" s="639"/>
      <c r="AW97" s="639"/>
      <c r="AX97" s="639"/>
      <c r="AY97" s="639"/>
      <c r="AZ97" s="639"/>
      <c r="BA97" s="639"/>
    </row>
    <row r="98" spans="1:53" x14ac:dyDescent="0.25">
      <c r="A98" t="s">
        <v>97</v>
      </c>
      <c r="B98" s="639"/>
      <c r="C98" s="642">
        <f>B98+B38+B37+B36+B35</f>
        <v>0</v>
      </c>
      <c r="D98" s="642">
        <f>C98+C38+C37+C36+C35</f>
        <v>0</v>
      </c>
      <c r="E98" s="642">
        <f>D98+D38+D37+D36+D35</f>
        <v>0</v>
      </c>
      <c r="F98" s="642">
        <f>E98+E38+E37+E36+E35</f>
        <v>0</v>
      </c>
      <c r="G98" s="642">
        <f>F98+F38+F37+F36+F35</f>
        <v>0</v>
      </c>
      <c r="H98" s="642">
        <f t="shared" ref="H98:BA98" si="5">G98+G38+G37+G36+G35</f>
        <v>0</v>
      </c>
      <c r="I98" s="642">
        <f t="shared" si="5"/>
        <v>0</v>
      </c>
      <c r="J98" s="642">
        <f t="shared" si="5"/>
        <v>0</v>
      </c>
      <c r="K98" s="642">
        <f t="shared" si="5"/>
        <v>0</v>
      </c>
      <c r="L98" s="642">
        <f t="shared" si="5"/>
        <v>0</v>
      </c>
      <c r="M98" s="642">
        <f t="shared" si="5"/>
        <v>0</v>
      </c>
      <c r="N98" s="642">
        <f t="shared" si="5"/>
        <v>0</v>
      </c>
      <c r="O98" s="642">
        <f t="shared" si="5"/>
        <v>0</v>
      </c>
      <c r="P98" s="642">
        <f t="shared" si="5"/>
        <v>0</v>
      </c>
      <c r="Q98" s="642">
        <f t="shared" si="5"/>
        <v>0</v>
      </c>
      <c r="R98" s="642">
        <f t="shared" si="5"/>
        <v>0</v>
      </c>
      <c r="S98" s="642">
        <f t="shared" si="5"/>
        <v>0</v>
      </c>
      <c r="T98" s="642">
        <f t="shared" si="5"/>
        <v>0</v>
      </c>
      <c r="U98" s="642">
        <f t="shared" si="5"/>
        <v>0</v>
      </c>
      <c r="V98" s="642">
        <f t="shared" si="5"/>
        <v>0</v>
      </c>
      <c r="W98" s="642">
        <f t="shared" si="5"/>
        <v>0</v>
      </c>
      <c r="X98" s="642">
        <f t="shared" si="5"/>
        <v>0</v>
      </c>
      <c r="Y98" s="642">
        <f t="shared" si="5"/>
        <v>0</v>
      </c>
      <c r="Z98" s="642">
        <f t="shared" si="5"/>
        <v>0</v>
      </c>
      <c r="AA98" s="642">
        <f t="shared" si="5"/>
        <v>0</v>
      </c>
      <c r="AB98" s="642">
        <f t="shared" si="5"/>
        <v>0</v>
      </c>
      <c r="AC98" s="642">
        <f t="shared" si="5"/>
        <v>0</v>
      </c>
      <c r="AD98" s="642">
        <f t="shared" si="5"/>
        <v>0</v>
      </c>
      <c r="AE98" s="642">
        <f t="shared" si="5"/>
        <v>0</v>
      </c>
      <c r="AF98" s="642">
        <f t="shared" si="5"/>
        <v>0</v>
      </c>
      <c r="AG98" s="642">
        <f t="shared" si="5"/>
        <v>0</v>
      </c>
      <c r="AH98" s="642">
        <f t="shared" si="5"/>
        <v>0</v>
      </c>
      <c r="AI98" s="642">
        <f t="shared" si="5"/>
        <v>0</v>
      </c>
      <c r="AJ98" s="642">
        <f t="shared" si="5"/>
        <v>0</v>
      </c>
      <c r="AK98" s="642">
        <f t="shared" si="5"/>
        <v>0</v>
      </c>
      <c r="AL98" s="642">
        <f t="shared" si="5"/>
        <v>0</v>
      </c>
      <c r="AM98" s="642">
        <f t="shared" si="5"/>
        <v>0</v>
      </c>
      <c r="AN98" s="642">
        <f t="shared" si="5"/>
        <v>0</v>
      </c>
      <c r="AO98" s="642">
        <f t="shared" si="5"/>
        <v>0</v>
      </c>
      <c r="AP98" s="642">
        <f t="shared" si="5"/>
        <v>0</v>
      </c>
      <c r="AQ98" s="642">
        <f t="shared" si="5"/>
        <v>0</v>
      </c>
      <c r="AR98" s="642">
        <f t="shared" si="5"/>
        <v>0</v>
      </c>
      <c r="AS98" s="642">
        <f t="shared" si="5"/>
        <v>0</v>
      </c>
      <c r="AT98" s="642">
        <f t="shared" si="5"/>
        <v>0</v>
      </c>
      <c r="AU98" s="642">
        <f t="shared" si="5"/>
        <v>0</v>
      </c>
      <c r="AV98" s="642">
        <f t="shared" si="5"/>
        <v>0</v>
      </c>
      <c r="AW98" s="642">
        <f t="shared" si="5"/>
        <v>0</v>
      </c>
      <c r="AX98" s="642">
        <f t="shared" si="5"/>
        <v>0</v>
      </c>
      <c r="AY98" s="642">
        <f t="shared" si="5"/>
        <v>0</v>
      </c>
      <c r="AZ98" s="642">
        <f t="shared" si="5"/>
        <v>0</v>
      </c>
      <c r="BA98" s="642">
        <f t="shared" si="5"/>
        <v>0</v>
      </c>
    </row>
    <row r="99" spans="1:53" x14ac:dyDescent="0.25">
      <c r="A99" t="s">
        <v>102</v>
      </c>
      <c r="B99" s="639"/>
      <c r="C99" s="639"/>
      <c r="D99" s="639"/>
      <c r="E99" s="639"/>
      <c r="F99" s="639"/>
      <c r="G99" s="639"/>
      <c r="H99" s="639"/>
      <c r="I99" s="639"/>
      <c r="J99" s="639"/>
      <c r="K99" s="639"/>
      <c r="L99" s="639"/>
      <c r="M99" s="639"/>
      <c r="N99" s="639"/>
      <c r="O99" s="639"/>
      <c r="P99" s="639"/>
      <c r="Q99" s="639"/>
      <c r="R99" s="639"/>
      <c r="S99" s="639"/>
      <c r="T99" s="639"/>
      <c r="U99" s="639"/>
      <c r="V99" s="639"/>
      <c r="W99" s="639"/>
      <c r="X99" s="639"/>
      <c r="Y99" s="639"/>
      <c r="Z99" s="639"/>
      <c r="AA99" s="639"/>
      <c r="AB99" s="639"/>
      <c r="AC99" s="639"/>
      <c r="AD99" s="639"/>
      <c r="AE99" s="639"/>
      <c r="AF99" s="639"/>
      <c r="AG99" s="639"/>
      <c r="AH99" s="639"/>
      <c r="AI99" s="639"/>
      <c r="AJ99" s="639"/>
      <c r="AK99" s="639"/>
      <c r="AL99" s="639"/>
      <c r="AM99" s="639"/>
      <c r="AN99" s="639"/>
      <c r="AO99" s="639"/>
      <c r="AP99" s="639"/>
      <c r="AQ99" s="639"/>
      <c r="AR99" s="639"/>
      <c r="AS99" s="639"/>
      <c r="AT99" s="639"/>
      <c r="AU99" s="639"/>
      <c r="AV99" s="639"/>
      <c r="AW99" s="639"/>
      <c r="AX99" s="639"/>
      <c r="AY99" s="639"/>
      <c r="AZ99" s="639"/>
      <c r="BA99" s="639"/>
    </row>
    <row r="100" spans="1:53" x14ac:dyDescent="0.25">
      <c r="A100" t="s">
        <v>103</v>
      </c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39"/>
      <c r="P100" s="639"/>
      <c r="Q100" s="639"/>
      <c r="R100" s="639"/>
      <c r="S100" s="639"/>
      <c r="T100" s="639"/>
      <c r="U100" s="639"/>
      <c r="V100" s="639"/>
      <c r="W100" s="639"/>
      <c r="X100" s="639"/>
      <c r="Y100" s="639"/>
      <c r="Z100" s="639"/>
      <c r="AA100" s="639"/>
      <c r="AB100" s="639"/>
      <c r="AC100" s="639"/>
      <c r="AD100" s="639"/>
      <c r="AE100" s="639"/>
      <c r="AF100" s="639"/>
      <c r="AG100" s="639"/>
      <c r="AH100" s="639"/>
      <c r="AI100" s="639"/>
      <c r="AJ100" s="639"/>
      <c r="AK100" s="639"/>
      <c r="AL100" s="639"/>
      <c r="AM100" s="639"/>
      <c r="AN100" s="639"/>
      <c r="AO100" s="639"/>
      <c r="AP100" s="639"/>
      <c r="AQ100" s="639"/>
      <c r="AR100" s="639"/>
      <c r="AS100" s="639"/>
      <c r="AT100" s="639"/>
      <c r="AU100" s="639"/>
      <c r="AV100" s="639"/>
      <c r="AW100" s="639"/>
      <c r="AX100" s="639"/>
      <c r="AY100" s="639"/>
      <c r="AZ100" s="639"/>
      <c r="BA100" s="639"/>
    </row>
    <row r="101" spans="1:53" x14ac:dyDescent="0.25">
      <c r="A101" t="s">
        <v>1783</v>
      </c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39"/>
      <c r="P101" s="639"/>
      <c r="Q101" s="639"/>
      <c r="R101" s="639"/>
      <c r="S101" s="639"/>
      <c r="T101" s="639"/>
      <c r="U101" s="639"/>
      <c r="V101" s="639"/>
      <c r="W101" s="639"/>
      <c r="X101" s="639"/>
      <c r="Y101" s="639"/>
      <c r="Z101" s="639"/>
      <c r="AA101" s="639"/>
      <c r="AB101" s="639"/>
      <c r="AC101" s="639"/>
      <c r="AD101" s="639"/>
      <c r="AE101" s="639"/>
      <c r="AF101" s="639"/>
      <c r="AG101" s="639"/>
      <c r="AH101" s="639"/>
      <c r="AI101" s="639"/>
      <c r="AJ101" s="639"/>
      <c r="AK101" s="639"/>
      <c r="AL101" s="639"/>
      <c r="AM101" s="639"/>
      <c r="AN101" s="639"/>
      <c r="AO101" s="639"/>
      <c r="AP101" s="639"/>
      <c r="AQ101" s="639"/>
      <c r="AR101" s="639"/>
      <c r="AS101" s="639"/>
      <c r="AT101" s="639"/>
      <c r="AU101" s="639"/>
      <c r="AV101" s="639"/>
      <c r="AW101" s="639"/>
      <c r="AX101" s="639"/>
      <c r="AY101" s="639"/>
      <c r="AZ101" s="639"/>
      <c r="BA101" s="639"/>
    </row>
    <row r="102" spans="1:53" x14ac:dyDescent="0.25">
      <c r="A102" t="s">
        <v>104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39"/>
      <c r="AB102" s="639"/>
      <c r="AC102" s="639"/>
      <c r="AD102" s="639"/>
      <c r="AE102" s="639"/>
      <c r="AF102" s="639"/>
      <c r="AG102" s="639"/>
      <c r="AH102" s="639"/>
      <c r="AI102" s="639"/>
      <c r="AJ102" s="639"/>
      <c r="AK102" s="639"/>
      <c r="AL102" s="639"/>
      <c r="AM102" s="639"/>
      <c r="AN102" s="639"/>
      <c r="AO102" s="639"/>
      <c r="AP102" s="639"/>
      <c r="AQ102" s="639"/>
      <c r="AR102" s="639"/>
      <c r="AS102" s="639"/>
      <c r="AT102" s="639"/>
      <c r="AU102" s="639"/>
      <c r="AV102" s="639"/>
      <c r="AW102" s="639"/>
      <c r="AX102" s="639"/>
      <c r="AY102" s="639"/>
      <c r="AZ102" s="639"/>
      <c r="BA102" s="639"/>
    </row>
    <row r="103" spans="1:53" x14ac:dyDescent="0.25">
      <c r="A103" s="321" t="s">
        <v>3092</v>
      </c>
      <c r="B103" s="640">
        <f t="shared" ref="B103:G103" si="6">SUM(B73:B102)+B35+B36+B37+B38</f>
        <v>0</v>
      </c>
      <c r="C103" s="640">
        <f t="shared" si="6"/>
        <v>0</v>
      </c>
      <c r="D103" s="640">
        <f t="shared" si="6"/>
        <v>0</v>
      </c>
      <c r="E103" s="640">
        <f t="shared" si="6"/>
        <v>0</v>
      </c>
      <c r="F103" s="640">
        <f t="shared" si="6"/>
        <v>0</v>
      </c>
      <c r="G103" s="640">
        <f t="shared" si="6"/>
        <v>0</v>
      </c>
      <c r="H103" s="640">
        <f t="shared" ref="H103:BA103" si="7">SUM(H73:H102)+H35+H36+H37+H38</f>
        <v>0</v>
      </c>
      <c r="I103" s="640">
        <f t="shared" si="7"/>
        <v>0</v>
      </c>
      <c r="J103" s="640">
        <f t="shared" si="7"/>
        <v>0</v>
      </c>
      <c r="K103" s="640">
        <f t="shared" si="7"/>
        <v>0</v>
      </c>
      <c r="L103" s="640">
        <f t="shared" si="7"/>
        <v>0</v>
      </c>
      <c r="M103" s="640">
        <f t="shared" si="7"/>
        <v>0</v>
      </c>
      <c r="N103" s="640">
        <f t="shared" si="7"/>
        <v>0</v>
      </c>
      <c r="O103" s="640">
        <f t="shared" si="7"/>
        <v>0</v>
      </c>
      <c r="P103" s="640">
        <f t="shared" si="7"/>
        <v>0</v>
      </c>
      <c r="Q103" s="640">
        <f t="shared" si="7"/>
        <v>0</v>
      </c>
      <c r="R103" s="640">
        <f t="shared" si="7"/>
        <v>0</v>
      </c>
      <c r="S103" s="640">
        <f t="shared" si="7"/>
        <v>0</v>
      </c>
      <c r="T103" s="640">
        <f t="shared" si="7"/>
        <v>0</v>
      </c>
      <c r="U103" s="640">
        <f t="shared" si="7"/>
        <v>0</v>
      </c>
      <c r="V103" s="640">
        <f t="shared" si="7"/>
        <v>0</v>
      </c>
      <c r="W103" s="640">
        <f t="shared" si="7"/>
        <v>0</v>
      </c>
      <c r="X103" s="640">
        <f t="shared" si="7"/>
        <v>0</v>
      </c>
      <c r="Y103" s="640">
        <f t="shared" si="7"/>
        <v>0</v>
      </c>
      <c r="Z103" s="640">
        <f t="shared" si="7"/>
        <v>0</v>
      </c>
      <c r="AA103" s="640">
        <f t="shared" si="7"/>
        <v>0</v>
      </c>
      <c r="AB103" s="640">
        <f t="shared" si="7"/>
        <v>0</v>
      </c>
      <c r="AC103" s="640">
        <f t="shared" si="7"/>
        <v>0</v>
      </c>
      <c r="AD103" s="640">
        <f t="shared" si="7"/>
        <v>0</v>
      </c>
      <c r="AE103" s="640">
        <f t="shared" si="7"/>
        <v>0</v>
      </c>
      <c r="AF103" s="640">
        <f t="shared" si="7"/>
        <v>0</v>
      </c>
      <c r="AG103" s="640">
        <f t="shared" si="7"/>
        <v>0</v>
      </c>
      <c r="AH103" s="640">
        <f t="shared" si="7"/>
        <v>0</v>
      </c>
      <c r="AI103" s="640">
        <f t="shared" si="7"/>
        <v>0</v>
      </c>
      <c r="AJ103" s="640">
        <f t="shared" si="7"/>
        <v>0</v>
      </c>
      <c r="AK103" s="640">
        <f t="shared" si="7"/>
        <v>0</v>
      </c>
      <c r="AL103" s="640">
        <f t="shared" si="7"/>
        <v>0</v>
      </c>
      <c r="AM103" s="640">
        <f t="shared" si="7"/>
        <v>0</v>
      </c>
      <c r="AN103" s="640">
        <f t="shared" si="7"/>
        <v>0</v>
      </c>
      <c r="AO103" s="640">
        <f t="shared" si="7"/>
        <v>0</v>
      </c>
      <c r="AP103" s="640">
        <f t="shared" si="7"/>
        <v>0</v>
      </c>
      <c r="AQ103" s="640">
        <f t="shared" si="7"/>
        <v>0</v>
      </c>
      <c r="AR103" s="640">
        <f t="shared" si="7"/>
        <v>0</v>
      </c>
      <c r="AS103" s="640">
        <f t="shared" si="7"/>
        <v>0</v>
      </c>
      <c r="AT103" s="640">
        <f t="shared" si="7"/>
        <v>0</v>
      </c>
      <c r="AU103" s="640">
        <f t="shared" si="7"/>
        <v>0</v>
      </c>
      <c r="AV103" s="640">
        <f t="shared" si="7"/>
        <v>0</v>
      </c>
      <c r="AW103" s="640">
        <f t="shared" si="7"/>
        <v>0</v>
      </c>
      <c r="AX103" s="640">
        <f t="shared" si="7"/>
        <v>0</v>
      </c>
      <c r="AY103" s="640">
        <f t="shared" si="7"/>
        <v>0</v>
      </c>
      <c r="AZ103" s="640">
        <f t="shared" si="7"/>
        <v>0</v>
      </c>
      <c r="BA103" s="640">
        <f t="shared" si="7"/>
        <v>0</v>
      </c>
    </row>
    <row r="104" spans="1:53" x14ac:dyDescent="0.25">
      <c r="A104" s="28"/>
      <c r="B104" s="641"/>
      <c r="C104" s="641"/>
      <c r="D104" s="641"/>
      <c r="E104" s="641"/>
      <c r="F104" s="641"/>
      <c r="G104" s="641"/>
      <c r="H104" s="641"/>
      <c r="I104" s="641"/>
      <c r="J104" s="641"/>
      <c r="K104" s="641"/>
      <c r="L104" s="641"/>
      <c r="M104" s="641"/>
      <c r="N104" s="641"/>
      <c r="O104" s="641"/>
      <c r="P104" s="641"/>
      <c r="Q104" s="641"/>
      <c r="R104" s="641"/>
      <c r="S104" s="641"/>
      <c r="T104" s="641"/>
      <c r="U104" s="641"/>
      <c r="V104" s="641"/>
      <c r="W104" s="641"/>
      <c r="X104" s="641"/>
      <c r="Y104" s="641"/>
      <c r="Z104" s="641"/>
      <c r="AA104" s="641"/>
      <c r="AB104" s="641"/>
      <c r="AC104" s="641"/>
      <c r="AD104" s="641"/>
      <c r="AE104" s="641"/>
      <c r="AF104" s="641"/>
      <c r="AG104" s="641"/>
      <c r="AH104" s="641"/>
      <c r="AI104" s="641"/>
      <c r="AJ104" s="641"/>
      <c r="AK104" s="641"/>
      <c r="AL104" s="641"/>
      <c r="AM104" s="641"/>
      <c r="AN104" s="641"/>
      <c r="AO104" s="641"/>
      <c r="AP104" s="641"/>
      <c r="AQ104" s="641"/>
      <c r="AR104" s="641"/>
      <c r="AS104" s="641"/>
      <c r="AT104" s="641"/>
      <c r="AU104" s="641"/>
      <c r="AV104" s="641"/>
      <c r="AW104" s="641"/>
      <c r="AX104" s="641"/>
      <c r="AY104" s="641"/>
      <c r="AZ104" s="641"/>
      <c r="BA104" s="641"/>
    </row>
    <row r="105" spans="1:53" x14ac:dyDescent="0.25">
      <c r="A105" s="321" t="s">
        <v>3091</v>
      </c>
      <c r="B105" s="640">
        <f t="shared" ref="B105:G105" si="8">B103-B70</f>
        <v>0</v>
      </c>
      <c r="C105" s="640">
        <f t="shared" si="8"/>
        <v>0</v>
      </c>
      <c r="D105" s="640">
        <f t="shared" si="8"/>
        <v>0</v>
      </c>
      <c r="E105" s="640">
        <f t="shared" si="8"/>
        <v>0</v>
      </c>
      <c r="F105" s="640">
        <f t="shared" si="8"/>
        <v>0</v>
      </c>
      <c r="G105" s="640">
        <f t="shared" si="8"/>
        <v>0</v>
      </c>
      <c r="H105" s="640">
        <f t="shared" ref="H105:BA105" si="9">H103-H70</f>
        <v>0</v>
      </c>
      <c r="I105" s="640">
        <f t="shared" si="9"/>
        <v>0</v>
      </c>
      <c r="J105" s="640">
        <f t="shared" si="9"/>
        <v>0</v>
      </c>
      <c r="K105" s="640">
        <f t="shared" si="9"/>
        <v>0</v>
      </c>
      <c r="L105" s="640">
        <f t="shared" si="9"/>
        <v>0</v>
      </c>
      <c r="M105" s="640">
        <f t="shared" si="9"/>
        <v>0</v>
      </c>
      <c r="N105" s="640">
        <f t="shared" si="9"/>
        <v>0</v>
      </c>
      <c r="O105" s="640">
        <f t="shared" si="9"/>
        <v>0</v>
      </c>
      <c r="P105" s="640">
        <f t="shared" si="9"/>
        <v>0</v>
      </c>
      <c r="Q105" s="640">
        <f t="shared" si="9"/>
        <v>0</v>
      </c>
      <c r="R105" s="640">
        <f t="shared" si="9"/>
        <v>0</v>
      </c>
      <c r="S105" s="640">
        <f t="shared" si="9"/>
        <v>0</v>
      </c>
      <c r="T105" s="640">
        <f t="shared" si="9"/>
        <v>0</v>
      </c>
      <c r="U105" s="640">
        <f t="shared" si="9"/>
        <v>0</v>
      </c>
      <c r="V105" s="640">
        <f t="shared" si="9"/>
        <v>0</v>
      </c>
      <c r="W105" s="640">
        <f t="shared" si="9"/>
        <v>0</v>
      </c>
      <c r="X105" s="640">
        <f t="shared" si="9"/>
        <v>0</v>
      </c>
      <c r="Y105" s="640">
        <f t="shared" si="9"/>
        <v>0</v>
      </c>
      <c r="Z105" s="640">
        <f t="shared" si="9"/>
        <v>0</v>
      </c>
      <c r="AA105" s="640">
        <f t="shared" si="9"/>
        <v>0</v>
      </c>
      <c r="AB105" s="640">
        <f t="shared" si="9"/>
        <v>0</v>
      </c>
      <c r="AC105" s="640">
        <f t="shared" si="9"/>
        <v>0</v>
      </c>
      <c r="AD105" s="640">
        <f t="shared" si="9"/>
        <v>0</v>
      </c>
      <c r="AE105" s="640">
        <f t="shared" si="9"/>
        <v>0</v>
      </c>
      <c r="AF105" s="640">
        <f t="shared" si="9"/>
        <v>0</v>
      </c>
      <c r="AG105" s="640">
        <f t="shared" si="9"/>
        <v>0</v>
      </c>
      <c r="AH105" s="640">
        <f t="shared" si="9"/>
        <v>0</v>
      </c>
      <c r="AI105" s="640">
        <f t="shared" si="9"/>
        <v>0</v>
      </c>
      <c r="AJ105" s="640">
        <f t="shared" si="9"/>
        <v>0</v>
      </c>
      <c r="AK105" s="640">
        <f t="shared" si="9"/>
        <v>0</v>
      </c>
      <c r="AL105" s="640">
        <f t="shared" si="9"/>
        <v>0</v>
      </c>
      <c r="AM105" s="640">
        <f t="shared" si="9"/>
        <v>0</v>
      </c>
      <c r="AN105" s="640">
        <f t="shared" si="9"/>
        <v>0</v>
      </c>
      <c r="AO105" s="640">
        <f t="shared" si="9"/>
        <v>0</v>
      </c>
      <c r="AP105" s="640">
        <f t="shared" si="9"/>
        <v>0</v>
      </c>
      <c r="AQ105" s="640">
        <f t="shared" si="9"/>
        <v>0</v>
      </c>
      <c r="AR105" s="640">
        <f t="shared" si="9"/>
        <v>0</v>
      </c>
      <c r="AS105" s="640">
        <f t="shared" si="9"/>
        <v>0</v>
      </c>
      <c r="AT105" s="640">
        <f t="shared" si="9"/>
        <v>0</v>
      </c>
      <c r="AU105" s="640">
        <f t="shared" si="9"/>
        <v>0</v>
      </c>
      <c r="AV105" s="640">
        <f t="shared" si="9"/>
        <v>0</v>
      </c>
      <c r="AW105" s="640">
        <f t="shared" si="9"/>
        <v>0</v>
      </c>
      <c r="AX105" s="640">
        <f t="shared" si="9"/>
        <v>0</v>
      </c>
      <c r="AY105" s="640">
        <f t="shared" si="9"/>
        <v>0</v>
      </c>
      <c r="AZ105" s="640">
        <f t="shared" si="9"/>
        <v>0</v>
      </c>
      <c r="BA105" s="640">
        <f t="shared" si="9"/>
        <v>0</v>
      </c>
    </row>
  </sheetData>
  <dataValidations count="2">
    <dataValidation type="list" allowBlank="1" showInputMessage="1" showErrorMessage="1" sqref="A3" xr:uid="{00000000-0002-0000-0200-000000000000}">
      <formula1>"Weekly, Monthly, Quarterly, Half Year, Full Year"</formula1>
    </dataValidation>
    <dataValidation allowBlank="1" showErrorMessage="1" sqref="A46:B46 A52 H46 N46 T46 Z46 AF46 AL46 AR46 AX46" xr:uid="{00000000-0002-0000-0200-000001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456-7601-4B6B-B8AD-3FDCD1152EE5}">
  <dimension ref="A1:F107"/>
  <sheetViews>
    <sheetView topLeftCell="B1" workbookViewId="0">
      <selection activeCell="R21" sqref="R21"/>
    </sheetView>
  </sheetViews>
  <sheetFormatPr defaultRowHeight="13.2" x14ac:dyDescent="0.25"/>
  <cols>
    <col min="1" max="1" width="33.33203125" bestFit="1" customWidth="1"/>
    <col min="2" max="2" width="15.33203125" bestFit="1" customWidth="1"/>
    <col min="3" max="4" width="8.88671875" style="674"/>
    <col min="5" max="5" width="10.5546875" style="772" bestFit="1" customWidth="1"/>
    <col min="6" max="6" width="13.21875" bestFit="1" customWidth="1"/>
  </cols>
  <sheetData>
    <row r="1" spans="1:6" x14ac:dyDescent="0.25">
      <c r="B1" t="s">
        <v>3927</v>
      </c>
      <c r="C1" s="674" t="s">
        <v>3924</v>
      </c>
      <c r="D1" s="674" t="s">
        <v>3925</v>
      </c>
      <c r="E1" s="674" t="s">
        <v>3930</v>
      </c>
      <c r="F1" t="s">
        <v>3929</v>
      </c>
    </row>
    <row r="2" spans="1:6" x14ac:dyDescent="0.25">
      <c r="A2" t="s">
        <v>9</v>
      </c>
      <c r="C2" s="674">
        <v>100</v>
      </c>
      <c r="D2" s="674">
        <v>90</v>
      </c>
      <c r="E2" s="772">
        <f>D2/C2</f>
        <v>0.9</v>
      </c>
      <c r="F2" s="731">
        <v>1</v>
      </c>
    </row>
    <row r="3" spans="1:6" x14ac:dyDescent="0.25">
      <c r="A3" t="s">
        <v>10</v>
      </c>
      <c r="C3">
        <v>50</v>
      </c>
      <c r="D3">
        <v>40</v>
      </c>
      <c r="E3" s="772">
        <f t="shared" ref="E3:E4" si="0">D3/C3</f>
        <v>0.8</v>
      </c>
      <c r="F3" s="731">
        <v>1</v>
      </c>
    </row>
    <row r="4" spans="1:6" x14ac:dyDescent="0.25">
      <c r="A4" t="s">
        <v>3080</v>
      </c>
      <c r="C4">
        <v>30</v>
      </c>
      <c r="D4">
        <v>40</v>
      </c>
      <c r="E4" s="772">
        <f t="shared" si="0"/>
        <v>1.3333333333333333</v>
      </c>
      <c r="F4" s="731">
        <v>1</v>
      </c>
    </row>
    <row r="5" spans="1:6" x14ac:dyDescent="0.25">
      <c r="A5" s="750" t="s">
        <v>12</v>
      </c>
      <c r="B5" s="750"/>
      <c r="C5" s="750"/>
      <c r="D5" s="750"/>
    </row>
    <row r="6" spans="1:6" x14ac:dyDescent="0.25">
      <c r="A6" t="s">
        <v>3095</v>
      </c>
      <c r="C6"/>
      <c r="D6"/>
    </row>
    <row r="7" spans="1:6" x14ac:dyDescent="0.25">
      <c r="A7" t="s">
        <v>13</v>
      </c>
      <c r="C7"/>
      <c r="D7"/>
    </row>
    <row r="8" spans="1:6" x14ac:dyDescent="0.25">
      <c r="A8" t="s">
        <v>14</v>
      </c>
      <c r="C8"/>
      <c r="D8"/>
    </row>
    <row r="9" spans="1:6" x14ac:dyDescent="0.25">
      <c r="A9" t="s">
        <v>3094</v>
      </c>
      <c r="C9"/>
      <c r="D9"/>
    </row>
    <row r="10" spans="1:6" x14ac:dyDescent="0.25">
      <c r="A10" t="s">
        <v>1773</v>
      </c>
      <c r="C10"/>
      <c r="D10"/>
    </row>
    <row r="11" spans="1:6" x14ac:dyDescent="0.25">
      <c r="A11" t="s">
        <v>15</v>
      </c>
      <c r="C11"/>
      <c r="D11"/>
    </row>
    <row r="12" spans="1:6" x14ac:dyDescent="0.25">
      <c r="A12" s="750" t="s">
        <v>148</v>
      </c>
      <c r="B12" s="750"/>
      <c r="C12" s="750"/>
      <c r="D12" s="750"/>
    </row>
    <row r="13" spans="1:6" x14ac:dyDescent="0.25">
      <c r="A13" s="763" t="s">
        <v>3909</v>
      </c>
      <c r="B13" s="763"/>
      <c r="C13" s="763"/>
      <c r="D13" s="763"/>
    </row>
    <row r="14" spans="1:6" x14ac:dyDescent="0.25">
      <c r="A14" t="s">
        <v>1774</v>
      </c>
      <c r="C14"/>
      <c r="D14"/>
    </row>
    <row r="15" spans="1:6" x14ac:dyDescent="0.25">
      <c r="A15" t="s">
        <v>17</v>
      </c>
      <c r="C15"/>
      <c r="D15"/>
    </row>
    <row r="16" spans="1:6" x14ac:dyDescent="0.25">
      <c r="A16" t="s">
        <v>18</v>
      </c>
      <c r="C16"/>
      <c r="D16"/>
    </row>
    <row r="17" spans="1:4" x14ac:dyDescent="0.25">
      <c r="A17" t="s">
        <v>19</v>
      </c>
      <c r="C17"/>
      <c r="D17"/>
    </row>
    <row r="18" spans="1:4" x14ac:dyDescent="0.25">
      <c r="A18" t="s">
        <v>20</v>
      </c>
      <c r="C18"/>
      <c r="D18"/>
    </row>
    <row r="19" spans="1:4" x14ac:dyDescent="0.25">
      <c r="A19" t="s">
        <v>21</v>
      </c>
      <c r="C19"/>
      <c r="D19"/>
    </row>
    <row r="20" spans="1:4" x14ac:dyDescent="0.25">
      <c r="A20" t="s">
        <v>22</v>
      </c>
      <c r="C20"/>
      <c r="D20"/>
    </row>
    <row r="21" spans="1:4" x14ac:dyDescent="0.25">
      <c r="A21" s="750" t="s">
        <v>3912</v>
      </c>
      <c r="B21" s="750"/>
      <c r="C21" s="750"/>
      <c r="D21" s="750"/>
    </row>
    <row r="22" spans="1:4" x14ac:dyDescent="0.25">
      <c r="A22" t="s">
        <v>24</v>
      </c>
      <c r="C22"/>
      <c r="D22"/>
    </row>
    <row r="23" spans="1:4" x14ac:dyDescent="0.25">
      <c r="A23" t="s">
        <v>28</v>
      </c>
      <c r="C23"/>
      <c r="D23"/>
    </row>
    <row r="24" spans="1:4" x14ac:dyDescent="0.25">
      <c r="A24" t="s">
        <v>29</v>
      </c>
      <c r="C24"/>
      <c r="D24"/>
    </row>
    <row r="25" spans="1:4" x14ac:dyDescent="0.25">
      <c r="A25" t="s">
        <v>30</v>
      </c>
      <c r="C25"/>
      <c r="D25"/>
    </row>
    <row r="26" spans="1:4" x14ac:dyDescent="0.25">
      <c r="A26" t="s">
        <v>30</v>
      </c>
      <c r="C26"/>
      <c r="D26"/>
    </row>
    <row r="27" spans="1:4" x14ac:dyDescent="0.25">
      <c r="A27" s="321" t="s">
        <v>3081</v>
      </c>
      <c r="B27" s="321"/>
      <c r="C27" s="321"/>
      <c r="D27" s="321"/>
    </row>
    <row r="28" spans="1:4" x14ac:dyDescent="0.25">
      <c r="A28" t="s">
        <v>32</v>
      </c>
      <c r="C28"/>
      <c r="D28"/>
    </row>
    <row r="29" spans="1:4" x14ac:dyDescent="0.25">
      <c r="A29" t="s">
        <v>33</v>
      </c>
      <c r="C29"/>
      <c r="D29"/>
    </row>
    <row r="30" spans="1:4" x14ac:dyDescent="0.25">
      <c r="A30" s="750" t="s">
        <v>3082</v>
      </c>
      <c r="B30" s="750"/>
      <c r="C30" s="750"/>
      <c r="D30" s="750"/>
    </row>
    <row r="31" spans="1:4" x14ac:dyDescent="0.25">
      <c r="A31" s="321" t="s">
        <v>35</v>
      </c>
      <c r="B31" s="321"/>
      <c r="C31" s="321"/>
      <c r="D31" s="321"/>
    </row>
    <row r="32" spans="1:4" ht="14.4" x14ac:dyDescent="0.3">
      <c r="A32" s="739"/>
      <c r="B32" s="739"/>
      <c r="C32" s="739"/>
      <c r="D32" s="739"/>
    </row>
    <row r="33" spans="1:4" ht="14.4" x14ac:dyDescent="0.3">
      <c r="A33" s="739"/>
      <c r="B33" s="739"/>
      <c r="C33" s="739"/>
      <c r="D33" s="739"/>
    </row>
    <row r="34" spans="1:4" ht="14.4" x14ac:dyDescent="0.3">
      <c r="A34" s="739"/>
      <c r="B34" s="739"/>
      <c r="C34" s="739"/>
      <c r="D34" s="739"/>
    </row>
    <row r="35" spans="1:4" ht="14.4" x14ac:dyDescent="0.3">
      <c r="A35" s="739" t="s">
        <v>38</v>
      </c>
      <c r="B35" s="739"/>
      <c r="C35" s="739"/>
      <c r="D35" s="739"/>
    </row>
    <row r="36" spans="1:4" ht="14.4" x14ac:dyDescent="0.3">
      <c r="A36" s="739" t="s">
        <v>39</v>
      </c>
      <c r="B36" s="739"/>
      <c r="C36" s="739"/>
      <c r="D36" s="739"/>
    </row>
    <row r="37" spans="1:4" ht="14.4" x14ac:dyDescent="0.3">
      <c r="A37" s="739" t="s">
        <v>40</v>
      </c>
      <c r="B37" s="739"/>
      <c r="C37" s="739"/>
      <c r="D37" s="739"/>
    </row>
    <row r="38" spans="1:4" ht="14.4" x14ac:dyDescent="0.3">
      <c r="A38" s="739" t="s">
        <v>41</v>
      </c>
      <c r="B38" s="739"/>
      <c r="C38" s="739"/>
      <c r="D38" s="739"/>
    </row>
    <row r="39" spans="1:4" ht="14.4" x14ac:dyDescent="0.3">
      <c r="A39" s="739" t="s">
        <v>42</v>
      </c>
      <c r="B39" s="739"/>
      <c r="C39" s="739"/>
      <c r="D39" s="739"/>
    </row>
    <row r="40" spans="1:4" ht="14.4" x14ac:dyDescent="0.3">
      <c r="A40" s="739" t="s">
        <v>3913</v>
      </c>
      <c r="B40" s="739"/>
      <c r="C40" s="739"/>
      <c r="D40" s="739"/>
    </row>
    <row r="41" spans="1:4" ht="14.4" x14ac:dyDescent="0.3">
      <c r="A41" s="739" t="s">
        <v>44</v>
      </c>
      <c r="B41" s="739"/>
      <c r="C41" s="739"/>
      <c r="D41" s="739"/>
    </row>
    <row r="42" spans="1:4" ht="14.4" x14ac:dyDescent="0.3">
      <c r="A42" s="739" t="s">
        <v>45</v>
      </c>
      <c r="B42" s="739"/>
      <c r="C42" s="739"/>
      <c r="D42" s="739"/>
    </row>
    <row r="43" spans="1:4" ht="14.4" x14ac:dyDescent="0.3">
      <c r="A43" s="739" t="s">
        <v>46</v>
      </c>
      <c r="B43" s="739"/>
      <c r="C43" s="739"/>
      <c r="D43" s="739"/>
    </row>
    <row r="44" spans="1:4" ht="14.4" x14ac:dyDescent="0.3">
      <c r="A44" s="739" t="s">
        <v>371</v>
      </c>
      <c r="B44" s="739"/>
      <c r="C44" s="739"/>
      <c r="D44" s="739"/>
    </row>
    <row r="45" spans="1:4" ht="14.4" x14ac:dyDescent="0.3">
      <c r="A45" s="739" t="s">
        <v>47</v>
      </c>
      <c r="B45" s="739"/>
      <c r="C45" s="739"/>
      <c r="D45" s="739"/>
    </row>
    <row r="46" spans="1:4" ht="14.4" x14ac:dyDescent="0.3">
      <c r="A46" s="739" t="s">
        <v>48</v>
      </c>
      <c r="B46" s="739"/>
      <c r="C46" s="739"/>
      <c r="D46" s="739"/>
    </row>
    <row r="47" spans="1:4" ht="14.4" x14ac:dyDescent="0.3">
      <c r="A47" s="739" t="s">
        <v>49</v>
      </c>
      <c r="B47" s="739"/>
      <c r="C47" s="739"/>
      <c r="D47" s="739"/>
    </row>
    <row r="48" spans="1:4" ht="14.4" x14ac:dyDescent="0.3">
      <c r="A48" s="739" t="s">
        <v>50</v>
      </c>
      <c r="B48" s="739"/>
      <c r="C48" s="739"/>
      <c r="D48" s="739"/>
    </row>
    <row r="49" spans="1:4" ht="14.4" x14ac:dyDescent="0.3">
      <c r="A49" s="739" t="s">
        <v>51</v>
      </c>
      <c r="B49" s="739"/>
      <c r="C49" s="739"/>
      <c r="D49" s="739"/>
    </row>
    <row r="50" spans="1:4" ht="14.4" x14ac:dyDescent="0.3">
      <c r="A50" s="739" t="s">
        <v>52</v>
      </c>
      <c r="B50" s="739"/>
      <c r="C50" s="739"/>
      <c r="D50" s="739"/>
    </row>
    <row r="51" spans="1:4" ht="14.4" x14ac:dyDescent="0.3">
      <c r="A51" s="749" t="s">
        <v>3915</v>
      </c>
      <c r="B51" s="749"/>
      <c r="C51" s="749"/>
      <c r="D51" s="749"/>
    </row>
    <row r="52" spans="1:4" ht="14.4" x14ac:dyDescent="0.3">
      <c r="A52" s="739" t="s">
        <v>54</v>
      </c>
      <c r="B52" s="739"/>
      <c r="C52" s="739"/>
      <c r="D52" s="739"/>
    </row>
    <row r="53" spans="1:4" ht="14.4" x14ac:dyDescent="0.3">
      <c r="A53" s="739" t="s">
        <v>55</v>
      </c>
      <c r="B53" s="739"/>
      <c r="C53" s="739"/>
      <c r="D53" s="739"/>
    </row>
    <row r="54" spans="1:4" ht="14.4" x14ac:dyDescent="0.3">
      <c r="A54" s="739" t="s">
        <v>56</v>
      </c>
      <c r="B54" s="739"/>
      <c r="C54" s="739"/>
      <c r="D54" s="739"/>
    </row>
    <row r="55" spans="1:4" ht="14.4" x14ac:dyDescent="0.3">
      <c r="A55" s="739" t="s">
        <v>57</v>
      </c>
      <c r="B55" s="739"/>
      <c r="C55" s="739"/>
      <c r="D55" s="739"/>
    </row>
    <row r="56" spans="1:4" ht="14.4" x14ac:dyDescent="0.3">
      <c r="A56" s="739" t="s">
        <v>58</v>
      </c>
      <c r="B56" s="739"/>
      <c r="C56" s="739"/>
      <c r="D56" s="739"/>
    </row>
    <row r="57" spans="1:4" ht="14.4" x14ac:dyDescent="0.3">
      <c r="A57" s="739" t="s">
        <v>59</v>
      </c>
      <c r="B57" s="739"/>
      <c r="C57" s="739"/>
      <c r="D57" s="739"/>
    </row>
    <row r="58" spans="1:4" ht="14.4" x14ac:dyDescent="0.3">
      <c r="A58" s="739" t="s">
        <v>60</v>
      </c>
      <c r="B58" s="739"/>
      <c r="C58" s="739"/>
      <c r="D58" s="739"/>
    </row>
    <row r="59" spans="1:4" ht="14.4" x14ac:dyDescent="0.3">
      <c r="A59" s="739" t="s">
        <v>61</v>
      </c>
      <c r="B59" s="739"/>
      <c r="C59" s="739"/>
      <c r="D59" s="739"/>
    </row>
    <row r="60" spans="1:4" ht="14.4" x14ac:dyDescent="0.3">
      <c r="A60" s="739" t="s">
        <v>62</v>
      </c>
      <c r="B60" s="739"/>
      <c r="C60" s="739"/>
      <c r="D60" s="739"/>
    </row>
    <row r="61" spans="1:4" ht="14.4" x14ac:dyDescent="0.3">
      <c r="A61" s="739" t="s">
        <v>1782</v>
      </c>
      <c r="B61" s="739"/>
      <c r="C61" s="739"/>
      <c r="D61" s="739"/>
    </row>
    <row r="62" spans="1:4" ht="14.4" x14ac:dyDescent="0.3">
      <c r="A62" s="739" t="s">
        <v>63</v>
      </c>
      <c r="B62" s="739"/>
      <c r="C62" s="739"/>
      <c r="D62" s="739"/>
    </row>
    <row r="63" spans="1:4" ht="14.4" x14ac:dyDescent="0.3">
      <c r="A63" s="739" t="s">
        <v>1775</v>
      </c>
      <c r="B63" s="739"/>
      <c r="C63" s="739"/>
      <c r="D63" s="739"/>
    </row>
    <row r="64" spans="1:4" ht="14.4" x14ac:dyDescent="0.3">
      <c r="A64" s="739" t="s">
        <v>64</v>
      </c>
      <c r="B64" s="739"/>
      <c r="C64" s="739"/>
      <c r="D64" s="739"/>
    </row>
    <row r="65" spans="1:4" ht="14.4" x14ac:dyDescent="0.3">
      <c r="A65" s="739" t="s">
        <v>65</v>
      </c>
      <c r="B65" s="739"/>
      <c r="C65" s="739"/>
      <c r="D65" s="739"/>
    </row>
    <row r="66" spans="1:4" ht="14.4" x14ac:dyDescent="0.3">
      <c r="A66" s="739" t="s">
        <v>66</v>
      </c>
      <c r="B66" s="739"/>
      <c r="C66" s="739"/>
      <c r="D66" s="739"/>
    </row>
    <row r="67" spans="1:4" ht="14.4" x14ac:dyDescent="0.3">
      <c r="A67" s="749" t="s">
        <v>3916</v>
      </c>
      <c r="B67" s="749"/>
      <c r="C67" s="749"/>
      <c r="D67" s="749"/>
    </row>
    <row r="68" spans="1:4" ht="14.4" x14ac:dyDescent="0.3">
      <c r="A68" s="739"/>
      <c r="B68" s="739"/>
      <c r="C68" s="739"/>
      <c r="D68" s="739"/>
    </row>
    <row r="69" spans="1:4" ht="14.4" x14ac:dyDescent="0.3">
      <c r="A69" s="739"/>
      <c r="B69" s="739"/>
      <c r="C69" s="739"/>
      <c r="D69" s="739"/>
    </row>
    <row r="70" spans="1:4" ht="14.4" x14ac:dyDescent="0.3">
      <c r="A70" s="748" t="s">
        <v>72</v>
      </c>
      <c r="B70" s="748"/>
      <c r="C70" s="748"/>
      <c r="D70" s="748"/>
    </row>
    <row r="71" spans="1:4" ht="14.4" x14ac:dyDescent="0.3">
      <c r="A71" s="739" t="s">
        <v>73</v>
      </c>
      <c r="B71" s="739"/>
      <c r="C71" s="739"/>
      <c r="D71" s="739"/>
    </row>
    <row r="72" spans="1:4" ht="14.4" x14ac:dyDescent="0.3">
      <c r="A72" s="739" t="s">
        <v>74</v>
      </c>
      <c r="B72" s="739"/>
      <c r="C72" s="739"/>
      <c r="D72" s="739"/>
    </row>
    <row r="73" spans="1:4" ht="14.4" x14ac:dyDescent="0.3">
      <c r="A73" s="739" t="s">
        <v>75</v>
      </c>
      <c r="B73" s="739"/>
      <c r="C73" s="739"/>
      <c r="D73" s="739"/>
    </row>
    <row r="74" spans="1:4" ht="14.4" x14ac:dyDescent="0.3">
      <c r="A74" s="739" t="s">
        <v>391</v>
      </c>
      <c r="B74" s="739"/>
      <c r="C74" s="739"/>
      <c r="D74" s="739"/>
    </row>
    <row r="75" spans="1:4" ht="14.4" x14ac:dyDescent="0.3">
      <c r="A75" s="739" t="s">
        <v>392</v>
      </c>
      <c r="B75" s="739"/>
      <c r="C75" s="739"/>
      <c r="D75" s="739"/>
    </row>
    <row r="76" spans="1:4" ht="14.4" x14ac:dyDescent="0.3">
      <c r="A76" s="739" t="s">
        <v>76</v>
      </c>
      <c r="B76" s="739"/>
      <c r="C76" s="739"/>
      <c r="D76" s="739"/>
    </row>
    <row r="77" spans="1:4" ht="14.4" x14ac:dyDescent="0.3">
      <c r="A77" s="739" t="s">
        <v>77</v>
      </c>
      <c r="B77" s="739"/>
      <c r="C77" s="739"/>
      <c r="D77" s="739"/>
    </row>
    <row r="78" spans="1:4" ht="14.4" x14ac:dyDescent="0.3">
      <c r="A78" s="739" t="s">
        <v>78</v>
      </c>
      <c r="B78" s="739"/>
      <c r="C78" s="739"/>
      <c r="D78" s="739"/>
    </row>
    <row r="79" spans="1:4" ht="14.4" x14ac:dyDescent="0.3">
      <c r="A79" s="739" t="s">
        <v>79</v>
      </c>
      <c r="B79" s="739"/>
      <c r="C79" s="739"/>
      <c r="D79" s="739"/>
    </row>
    <row r="80" spans="1:4" ht="14.4" x14ac:dyDescent="0.3">
      <c r="A80" s="739" t="s">
        <v>80</v>
      </c>
      <c r="B80" s="739"/>
      <c r="C80" s="739"/>
      <c r="D80" s="739"/>
    </row>
    <row r="81" spans="1:4" ht="14.4" x14ac:dyDescent="0.3">
      <c r="A81" s="739" t="s">
        <v>81</v>
      </c>
      <c r="B81" s="739"/>
      <c r="C81" s="739"/>
      <c r="D81" s="739"/>
    </row>
    <row r="82" spans="1:4" ht="14.4" x14ac:dyDescent="0.3">
      <c r="A82" s="749" t="s">
        <v>3917</v>
      </c>
      <c r="B82" s="749"/>
      <c r="C82" s="749"/>
      <c r="D82" s="749"/>
    </row>
    <row r="83" spans="1:4" ht="14.4" x14ac:dyDescent="0.3">
      <c r="A83" s="739" t="s">
        <v>83</v>
      </c>
      <c r="B83" s="739"/>
      <c r="C83" s="739"/>
      <c r="D83" s="739"/>
    </row>
    <row r="84" spans="1:4" ht="14.4" x14ac:dyDescent="0.3">
      <c r="A84" s="739" t="s">
        <v>84</v>
      </c>
      <c r="B84" s="739"/>
      <c r="C84" s="739"/>
      <c r="D84" s="739"/>
    </row>
    <row r="85" spans="1:4" ht="14.4" x14ac:dyDescent="0.3">
      <c r="A85" s="739" t="s">
        <v>85</v>
      </c>
      <c r="B85" s="739"/>
      <c r="C85" s="739"/>
      <c r="D85" s="739"/>
    </row>
    <row r="86" spans="1:4" ht="14.4" x14ac:dyDescent="0.3">
      <c r="A86" s="749" t="s">
        <v>3918</v>
      </c>
      <c r="B86" s="749"/>
      <c r="C86" s="749"/>
      <c r="D86" s="749"/>
    </row>
    <row r="87" spans="1:4" ht="14.4" x14ac:dyDescent="0.3">
      <c r="A87" s="739" t="s">
        <v>87</v>
      </c>
      <c r="B87" s="739"/>
      <c r="C87" s="739"/>
      <c r="D87" s="739"/>
    </row>
    <row r="88" spans="1:4" ht="14.4" x14ac:dyDescent="0.3">
      <c r="A88" s="739" t="s">
        <v>88</v>
      </c>
      <c r="B88" s="739"/>
      <c r="C88" s="739"/>
      <c r="D88" s="739"/>
    </row>
    <row r="89" spans="1:4" ht="14.4" x14ac:dyDescent="0.3">
      <c r="A89" s="739" t="s">
        <v>89</v>
      </c>
      <c r="B89" s="739"/>
      <c r="C89" s="739"/>
      <c r="D89" s="739"/>
    </row>
    <row r="90" spans="1:4" ht="14.4" x14ac:dyDescent="0.3">
      <c r="A90" s="739" t="s">
        <v>90</v>
      </c>
      <c r="B90" s="739"/>
      <c r="C90" s="739"/>
      <c r="D90" s="739"/>
    </row>
    <row r="91" spans="1:4" ht="14.4" x14ac:dyDescent="0.3">
      <c r="A91" s="739" t="s">
        <v>91</v>
      </c>
      <c r="B91" s="739"/>
      <c r="C91" s="739"/>
      <c r="D91" s="739"/>
    </row>
    <row r="92" spans="1:4" ht="14.4" x14ac:dyDescent="0.3">
      <c r="A92" s="749" t="s">
        <v>3919</v>
      </c>
      <c r="B92" s="749"/>
      <c r="C92" s="749"/>
      <c r="D92" s="749"/>
    </row>
    <row r="93" spans="1:4" ht="14.4" x14ac:dyDescent="0.3">
      <c r="A93" s="739" t="s">
        <v>93</v>
      </c>
      <c r="B93" s="739"/>
      <c r="C93" s="739"/>
      <c r="D93" s="739"/>
    </row>
    <row r="94" spans="1:4" ht="14.4" x14ac:dyDescent="0.3">
      <c r="A94" s="739" t="s">
        <v>94</v>
      </c>
      <c r="B94" s="739"/>
      <c r="C94" s="739"/>
      <c r="D94" s="739"/>
    </row>
    <row r="95" spans="1:4" ht="14.4" x14ac:dyDescent="0.3">
      <c r="A95" s="739" t="s">
        <v>95</v>
      </c>
      <c r="B95" s="739"/>
      <c r="C95" s="739"/>
      <c r="D95" s="739"/>
    </row>
    <row r="96" spans="1:4" ht="14.4" x14ac:dyDescent="0.3">
      <c r="A96" s="739" t="s">
        <v>96</v>
      </c>
      <c r="B96" s="739"/>
      <c r="C96" s="739"/>
      <c r="D96" s="739"/>
    </row>
    <row r="97" spans="1:4" ht="14.4" x14ac:dyDescent="0.3">
      <c r="A97" s="742" t="s">
        <v>97</v>
      </c>
      <c r="B97" s="742"/>
      <c r="C97" s="742"/>
      <c r="D97" s="742"/>
    </row>
    <row r="98" spans="1:4" ht="14.4" x14ac:dyDescent="0.3">
      <c r="A98" s="742" t="s">
        <v>98</v>
      </c>
      <c r="B98" s="742"/>
      <c r="C98" s="742"/>
      <c r="D98" s="742"/>
    </row>
    <row r="99" spans="1:4" ht="14.4" x14ac:dyDescent="0.3">
      <c r="A99" s="742" t="s">
        <v>99</v>
      </c>
      <c r="B99" s="742"/>
      <c r="C99" s="742"/>
      <c r="D99" s="742"/>
    </row>
    <row r="100" spans="1:4" ht="14.4" x14ac:dyDescent="0.3">
      <c r="A100" s="742" t="s">
        <v>100</v>
      </c>
      <c r="B100" s="742"/>
      <c r="C100" s="742"/>
      <c r="D100" s="742"/>
    </row>
    <row r="101" spans="1:4" ht="14.4" x14ac:dyDescent="0.3">
      <c r="A101" s="742" t="s">
        <v>101</v>
      </c>
      <c r="B101" s="742"/>
      <c r="C101" s="742"/>
      <c r="D101" s="742"/>
    </row>
    <row r="102" spans="1:4" ht="14.4" x14ac:dyDescent="0.3">
      <c r="A102" s="739" t="s">
        <v>102</v>
      </c>
      <c r="B102" s="739"/>
      <c r="C102" s="739"/>
      <c r="D102" s="739"/>
    </row>
    <row r="103" spans="1:4" ht="14.4" x14ac:dyDescent="0.3">
      <c r="A103" s="739" t="s">
        <v>103</v>
      </c>
      <c r="B103" s="739"/>
      <c r="C103" s="739"/>
      <c r="D103" s="739"/>
    </row>
    <row r="104" spans="1:4" ht="14.4" x14ac:dyDescent="0.3">
      <c r="A104" s="739" t="s">
        <v>1783</v>
      </c>
      <c r="B104" s="739"/>
      <c r="C104" s="739"/>
      <c r="D104" s="739"/>
    </row>
    <row r="105" spans="1:4" ht="14.4" x14ac:dyDescent="0.3">
      <c r="A105" s="739" t="s">
        <v>104</v>
      </c>
      <c r="B105" s="739"/>
      <c r="C105" s="739"/>
      <c r="D105" s="739"/>
    </row>
    <row r="106" spans="1:4" ht="14.4" x14ac:dyDescent="0.3">
      <c r="A106" s="749" t="s">
        <v>362</v>
      </c>
      <c r="B106" s="749"/>
      <c r="C106" s="749"/>
      <c r="D106" s="749"/>
    </row>
    <row r="107" spans="1:4" ht="14.4" x14ac:dyDescent="0.3">
      <c r="A107" s="749" t="s">
        <v>3920</v>
      </c>
      <c r="B107" s="749"/>
      <c r="C107" s="749"/>
      <c r="D107" s="7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W352"/>
  <sheetViews>
    <sheetView topLeftCell="A124" zoomScale="80" zoomScaleNormal="80" workbookViewId="0">
      <selection activeCell="J26" sqref="J26"/>
    </sheetView>
  </sheetViews>
  <sheetFormatPr defaultColWidth="9.21875" defaultRowHeight="13.2" x14ac:dyDescent="0.25"/>
  <cols>
    <col min="1" max="1" width="5.21875" style="194" customWidth="1"/>
    <col min="2" max="2" width="8.77734375" style="194" customWidth="1"/>
    <col min="3" max="3" width="47" style="194" customWidth="1"/>
    <col min="4" max="4" width="21.44140625" style="485" bestFit="1" customWidth="1"/>
    <col min="5" max="6" width="16.44140625" style="485" customWidth="1"/>
    <col min="7" max="7" width="13.77734375" style="485" customWidth="1"/>
    <col min="8" max="10" width="15.21875" style="485" bestFit="1" customWidth="1"/>
    <col min="11" max="11" width="9.21875" style="194"/>
    <col min="12" max="16" width="10.77734375" style="194" bestFit="1" customWidth="1"/>
    <col min="17" max="17" width="12.44140625" style="194" bestFit="1" customWidth="1"/>
    <col min="18" max="18" width="10.77734375" style="194" bestFit="1" customWidth="1"/>
    <col min="19" max="19" width="9.77734375" style="194" bestFit="1" customWidth="1"/>
    <col min="20" max="20" width="10.44140625" style="194" bestFit="1" customWidth="1"/>
    <col min="21" max="16384" width="9.21875" style="194"/>
  </cols>
  <sheetData>
    <row r="1" spans="1:10" ht="23.25" customHeight="1" x14ac:dyDescent="0.25">
      <c r="A1" s="785" t="s">
        <v>0</v>
      </c>
      <c r="B1" s="785"/>
      <c r="C1" s="785"/>
      <c r="D1" s="785"/>
      <c r="E1" s="785"/>
      <c r="F1" s="785"/>
      <c r="G1" s="785"/>
      <c r="H1" s="785"/>
      <c r="I1" s="785"/>
      <c r="J1" s="785"/>
    </row>
    <row r="2" spans="1:10" ht="26.25" customHeight="1" x14ac:dyDescent="0.25">
      <c r="A2" s="785"/>
      <c r="B2" s="785"/>
      <c r="C2" s="785"/>
      <c r="D2" s="785"/>
      <c r="E2" s="785"/>
      <c r="F2" s="785"/>
      <c r="G2" s="785"/>
      <c r="H2" s="785"/>
      <c r="I2" s="785"/>
      <c r="J2" s="785"/>
    </row>
    <row r="3" spans="1:10" ht="12" customHeight="1" x14ac:dyDescent="0.25"/>
    <row r="4" spans="1:10" x14ac:dyDescent="0.25">
      <c r="A4" s="237" t="s">
        <v>1</v>
      </c>
      <c r="B4" s="238"/>
      <c r="C4" s="238"/>
      <c r="D4" s="295"/>
    </row>
    <row r="5" spans="1:10" x14ac:dyDescent="0.25">
      <c r="A5" s="811"/>
      <c r="B5" s="812"/>
      <c r="C5" s="813"/>
      <c r="D5" s="296"/>
      <c r="F5" s="852" t="s">
        <v>427</v>
      </c>
      <c r="G5" s="853"/>
      <c r="H5" s="362"/>
    </row>
    <row r="6" spans="1:10" x14ac:dyDescent="0.25">
      <c r="A6" s="239" t="s">
        <v>2985</v>
      </c>
      <c r="B6" s="240"/>
      <c r="C6" s="238"/>
      <c r="D6" s="296" t="str">
        <f>'Client Input'!B1</f>
        <v>Abbas</v>
      </c>
      <c r="F6" s="852" t="s">
        <v>1772</v>
      </c>
      <c r="G6" s="853"/>
      <c r="H6" s="363"/>
    </row>
    <row r="7" spans="1:10" x14ac:dyDescent="0.25">
      <c r="A7" s="239"/>
      <c r="B7" s="240"/>
      <c r="C7" s="240"/>
      <c r="D7" s="296"/>
      <c r="F7" s="852" t="s">
        <v>426</v>
      </c>
      <c r="G7" s="853"/>
      <c r="H7" s="364"/>
    </row>
    <row r="8" spans="1:10" x14ac:dyDescent="0.25">
      <c r="A8" s="239" t="s">
        <v>2</v>
      </c>
      <c r="B8" s="240"/>
      <c r="C8" s="240"/>
      <c r="D8" s="296" t="str">
        <f>'Client Input'!B2</f>
        <v>EGP</v>
      </c>
    </row>
    <row r="9" spans="1:10" x14ac:dyDescent="0.25">
      <c r="A9" s="239" t="s">
        <v>3</v>
      </c>
      <c r="B9" s="240"/>
      <c r="C9" s="240"/>
      <c r="D9" s="296" t="str">
        <f>'Client Input'!B3</f>
        <v>Units</v>
      </c>
    </row>
    <row r="10" spans="1:10" x14ac:dyDescent="0.25">
      <c r="A10" s="241" t="s">
        <v>4</v>
      </c>
      <c r="B10" s="240"/>
      <c r="C10" s="240"/>
      <c r="D10" s="296" t="str">
        <f>'Client Input'!B5</f>
        <v>Advertising</v>
      </c>
    </row>
    <row r="11" spans="1:10" x14ac:dyDescent="0.25">
      <c r="A11" s="241" t="s">
        <v>5</v>
      </c>
      <c r="B11" s="240"/>
      <c r="C11" s="240"/>
      <c r="D11" s="637">
        <f>'Client Input'!B4</f>
        <v>2014</v>
      </c>
    </row>
    <row r="12" spans="1:10" x14ac:dyDescent="0.25">
      <c r="A12" s="239" t="s">
        <v>6</v>
      </c>
      <c r="B12" s="240"/>
      <c r="C12" s="240"/>
      <c r="D12" s="296" t="s">
        <v>204</v>
      </c>
    </row>
    <row r="13" spans="1:10" x14ac:dyDescent="0.25">
      <c r="A13" s="811"/>
      <c r="B13" s="812"/>
      <c r="C13" s="813"/>
      <c r="D13" s="296"/>
    </row>
    <row r="14" spans="1:10" x14ac:dyDescent="0.25">
      <c r="A14" s="811"/>
      <c r="B14" s="812"/>
      <c r="C14" s="813"/>
      <c r="D14" s="296"/>
    </row>
    <row r="15" spans="1:10" ht="13.8" thickBot="1" x14ac:dyDescent="0.3">
      <c r="A15" s="354"/>
      <c r="B15" s="355"/>
      <c r="C15" s="355"/>
      <c r="D15" s="486"/>
      <c r="E15" s="487"/>
      <c r="F15" s="488"/>
      <c r="G15" s="489"/>
      <c r="H15" s="489"/>
      <c r="I15" s="489"/>
      <c r="J15" s="489"/>
    </row>
    <row r="16" spans="1:10" ht="12.75" customHeight="1" x14ac:dyDescent="0.25">
      <c r="A16" s="352"/>
      <c r="B16" s="353"/>
      <c r="C16" s="836" t="s">
        <v>8</v>
      </c>
      <c r="D16" s="838" t="str">
        <f>D6</f>
        <v>Abbas</v>
      </c>
      <c r="E16" s="839"/>
      <c r="F16" s="839"/>
      <c r="G16" s="839"/>
      <c r="H16" s="839"/>
      <c r="I16" s="839"/>
      <c r="J16" s="839"/>
    </row>
    <row r="17" spans="1:101" ht="15.75" customHeight="1" x14ac:dyDescent="0.3">
      <c r="A17" s="280"/>
      <c r="B17" s="224"/>
      <c r="C17" s="837"/>
      <c r="D17" s="840"/>
      <c r="E17" s="841"/>
      <c r="F17" s="841"/>
      <c r="G17" s="841"/>
      <c r="H17" s="841"/>
      <c r="I17" s="841"/>
      <c r="J17" s="841"/>
    </row>
    <row r="18" spans="1:101" ht="19.5" customHeight="1" x14ac:dyDescent="0.25">
      <c r="A18" s="842" t="str">
        <f>D8</f>
        <v>EGP</v>
      </c>
      <c r="B18" s="843"/>
      <c r="C18" s="225" t="str">
        <f>D9</f>
        <v>Units</v>
      </c>
      <c r="D18" s="638"/>
      <c r="E18" s="638">
        <f>D11</f>
        <v>2014</v>
      </c>
      <c r="F18" s="638">
        <f t="shared" ref="F18:J18" si="0">E18+1</f>
        <v>2015</v>
      </c>
      <c r="G18" s="638">
        <f t="shared" si="0"/>
        <v>2016</v>
      </c>
      <c r="H18" s="638">
        <f t="shared" si="0"/>
        <v>2017</v>
      </c>
      <c r="I18" s="638">
        <f t="shared" si="0"/>
        <v>2018</v>
      </c>
      <c r="J18" s="638">
        <f t="shared" si="0"/>
        <v>2019</v>
      </c>
    </row>
    <row r="19" spans="1:101" x14ac:dyDescent="0.25">
      <c r="A19" s="842"/>
      <c r="B19" s="843"/>
      <c r="C19" s="848" t="s">
        <v>211</v>
      </c>
      <c r="D19" s="834">
        <f t="shared" ref="D19" si="1">$D$14</f>
        <v>0</v>
      </c>
      <c r="E19" s="844">
        <f>E18</f>
        <v>2014</v>
      </c>
      <c r="F19" s="844">
        <f t="shared" ref="F19:I19" si="2">F18</f>
        <v>2015</v>
      </c>
      <c r="G19" s="844">
        <f t="shared" si="2"/>
        <v>2016</v>
      </c>
      <c r="H19" s="844">
        <f t="shared" si="2"/>
        <v>2017</v>
      </c>
      <c r="I19" s="844">
        <f t="shared" si="2"/>
        <v>2018</v>
      </c>
      <c r="J19" s="846">
        <f>J18</f>
        <v>2019</v>
      </c>
    </row>
    <row r="20" spans="1:101" x14ac:dyDescent="0.25">
      <c r="A20" s="850"/>
      <c r="B20" s="851"/>
      <c r="C20" s="849"/>
      <c r="D20" s="835"/>
      <c r="E20" s="845"/>
      <c r="F20" s="845"/>
      <c r="G20" s="845"/>
      <c r="H20" s="845"/>
      <c r="I20" s="845"/>
      <c r="J20" s="847"/>
    </row>
    <row r="21" spans="1:101" x14ac:dyDescent="0.25">
      <c r="A21" s="814"/>
      <c r="B21" s="815"/>
      <c r="C21" s="215"/>
      <c r="D21" s="490" t="s">
        <v>369</v>
      </c>
      <c r="E21" s="490"/>
      <c r="F21" s="490"/>
      <c r="G21" s="490"/>
      <c r="H21" s="490"/>
      <c r="I21" s="490"/>
      <c r="J21" s="491"/>
    </row>
    <row r="22" spans="1:101" s="195" customFormat="1" x14ac:dyDescent="0.25">
      <c r="A22" s="817" t="s">
        <v>9</v>
      </c>
      <c r="B22" s="818"/>
      <c r="C22" s="819"/>
      <c r="D22" s="492"/>
      <c r="E22" s="492">
        <f>'Client Input'!B9</f>
        <v>1691390456</v>
      </c>
      <c r="F22" s="492">
        <f>'Client Input'!C9</f>
        <v>1856393498</v>
      </c>
      <c r="G22" s="492">
        <f>'Client Input'!D9</f>
        <v>1844680880</v>
      </c>
      <c r="H22" s="492">
        <f>'Client Input'!E9</f>
        <v>2029148968.0000002</v>
      </c>
      <c r="I22" s="492">
        <f>'Client Input'!F9</f>
        <v>2232063864.8000007</v>
      </c>
      <c r="J22" s="492">
        <f>'Client Input'!G9</f>
        <v>2522232167.2240005</v>
      </c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  <c r="CT22" s="194"/>
      <c r="CU22" s="194"/>
      <c r="CV22" s="194"/>
      <c r="CW22" s="194"/>
    </row>
    <row r="23" spans="1:101" s="195" customFormat="1" x14ac:dyDescent="0.25">
      <c r="A23" s="344" t="s">
        <v>426</v>
      </c>
      <c r="B23" s="345"/>
      <c r="C23" s="346">
        <f>AVERAGEIF(E23:J23, "&lt;&gt;0")</f>
        <v>8.4249066472797438E-2</v>
      </c>
      <c r="D23" s="493"/>
      <c r="E23" s="347">
        <f>IFERROR(E22/D22-1,0)</f>
        <v>0</v>
      </c>
      <c r="F23" s="347">
        <f t="shared" ref="F23:J23" si="3">IFERROR(F22/E22-1,0)</f>
        <v>9.7554672497217831E-2</v>
      </c>
      <c r="G23" s="347">
        <f t="shared" si="3"/>
        <v>-6.3093401332307009E-3</v>
      </c>
      <c r="H23" s="347">
        <f t="shared" si="3"/>
        <v>0.10000000000000009</v>
      </c>
      <c r="I23" s="347">
        <f t="shared" si="3"/>
        <v>0.10000000000000009</v>
      </c>
      <c r="J23" s="351">
        <f t="shared" si="3"/>
        <v>0.12999999999999989</v>
      </c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  <c r="CT23" s="194"/>
      <c r="CU23" s="194"/>
      <c r="CV23" s="194"/>
      <c r="CW23" s="194"/>
    </row>
    <row r="24" spans="1:101" s="195" customFormat="1" x14ac:dyDescent="0.25">
      <c r="A24" s="816" t="s">
        <v>10</v>
      </c>
      <c r="B24" s="793"/>
      <c r="C24" s="794"/>
      <c r="D24" s="494"/>
      <c r="E24" s="494">
        <f>'Client Input'!B10</f>
        <v>-1372201335</v>
      </c>
      <c r="F24" s="494">
        <f>'Client Input'!C10</f>
        <v>-1412964265</v>
      </c>
      <c r="G24" s="494">
        <f>'Client Input'!D10</f>
        <v>-1375070723</v>
      </c>
      <c r="H24" s="494">
        <f>'Client Input'!E10</f>
        <v>-1443824259.1500001</v>
      </c>
      <c r="I24" s="494">
        <f>'Client Input'!F10</f>
        <v>-1588206685.0650003</v>
      </c>
      <c r="J24" s="494">
        <f>'Client Input'!G10</f>
        <v>-1826437687.8247502</v>
      </c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  <c r="CT24" s="194"/>
      <c r="CU24" s="194"/>
      <c r="CV24" s="194"/>
      <c r="CW24" s="194"/>
    </row>
    <row r="25" spans="1:101" s="195" customFormat="1" x14ac:dyDescent="0.25">
      <c r="A25" s="344" t="s">
        <v>426</v>
      </c>
      <c r="B25" s="345"/>
      <c r="C25" s="346">
        <f>AVERAGEIF(E25:J25, "&lt;&gt;0")</f>
        <v>6.0577551905700647E-2</v>
      </c>
      <c r="D25" s="493"/>
      <c r="E25" s="347">
        <f>IFERROR(E24/D24-1,0)</f>
        <v>0</v>
      </c>
      <c r="F25" s="347">
        <f t="shared" ref="F25" si="4">IFERROR(F24/E24-1,0)</f>
        <v>2.9706231119502657E-2</v>
      </c>
      <c r="G25" s="347">
        <f t="shared" ref="G25" si="5">IFERROR(G24/F24-1,0)</f>
        <v>-2.6818471590999482E-2</v>
      </c>
      <c r="H25" s="347">
        <f t="shared" ref="H25" si="6">IFERROR(H24/G24-1,0)</f>
        <v>5.0000000000000044E-2</v>
      </c>
      <c r="I25" s="347">
        <f t="shared" ref="I25" si="7">IFERROR(I24/H24-1,0)</f>
        <v>0.10000000000000009</v>
      </c>
      <c r="J25" s="351">
        <f t="shared" ref="J25" si="8">IFERROR(J24/I24-1,0)</f>
        <v>0.14999999999999991</v>
      </c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  <c r="CT25" s="194"/>
      <c r="CU25" s="194"/>
      <c r="CV25" s="194"/>
      <c r="CW25" s="194"/>
    </row>
    <row r="26" spans="1:101" s="195" customFormat="1" x14ac:dyDescent="0.25">
      <c r="A26" s="816" t="s">
        <v>11</v>
      </c>
      <c r="B26" s="793"/>
      <c r="C26" s="794"/>
      <c r="D26" s="494"/>
      <c r="E26" s="494">
        <f>'Client Input'!B11</f>
        <v>-28096290</v>
      </c>
      <c r="F26" s="494">
        <f>'Client Input'!C11</f>
        <v>-38170983</v>
      </c>
      <c r="G26" s="494">
        <f>'Client Input'!D11</f>
        <v>-57684659</v>
      </c>
      <c r="H26" s="494">
        <f>'Client Input'!E11</f>
        <v>-74751125</v>
      </c>
      <c r="I26" s="494">
        <f>'Client Input'!F11</f>
        <v>-85963793.75</v>
      </c>
      <c r="J26" s="494">
        <f>'Client Input'!G11</f>
        <v>-98858362.812499985</v>
      </c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</row>
    <row r="27" spans="1:101" s="195" customFormat="1" x14ac:dyDescent="0.25">
      <c r="A27" s="344" t="s">
        <v>426</v>
      </c>
      <c r="B27" s="345"/>
      <c r="C27" s="346">
        <f>AVERAGEIF(E27:J27, "&lt;&gt;0")</f>
        <v>0.29313056994558029</v>
      </c>
      <c r="D27" s="493"/>
      <c r="E27" s="347">
        <f>IFERROR(E26/D26-1,0)</f>
        <v>0</v>
      </c>
      <c r="F27" s="347">
        <f t="shared" ref="F27" si="9">IFERROR(F26/E26-1,0)</f>
        <v>0.3585773424178067</v>
      </c>
      <c r="G27" s="347">
        <f t="shared" ref="G27" si="10">IFERROR(G26/F26-1,0)</f>
        <v>0.51121753924964408</v>
      </c>
      <c r="H27" s="347">
        <f t="shared" ref="H27" si="11">IFERROR(H26/G26-1,0)</f>
        <v>0.29585796806045095</v>
      </c>
      <c r="I27" s="347">
        <f t="shared" ref="I27" si="12">IFERROR(I26/H26-1,0)</f>
        <v>0.14999999999999991</v>
      </c>
      <c r="J27" s="351">
        <f t="shared" ref="J27" si="13">IFERROR(J26/I26-1,0)</f>
        <v>0.14999999999999991</v>
      </c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</row>
    <row r="28" spans="1:101" x14ac:dyDescent="0.25">
      <c r="A28" s="281"/>
      <c r="B28" s="242"/>
      <c r="C28" s="243"/>
      <c r="D28" s="496"/>
      <c r="E28" s="496"/>
      <c r="F28" s="496"/>
      <c r="G28" s="496"/>
      <c r="H28" s="496"/>
      <c r="I28" s="496"/>
      <c r="J28" s="497"/>
    </row>
    <row r="29" spans="1:101" x14ac:dyDescent="0.25">
      <c r="A29" s="282" t="s">
        <v>12</v>
      </c>
      <c r="B29" s="244"/>
      <c r="C29" s="245"/>
      <c r="D29" s="499">
        <f>(SUM(D22+D24+D26))</f>
        <v>0</v>
      </c>
      <c r="E29" s="499">
        <f t="shared" ref="E29:J29" si="14">(SUM(E22+E24+E26))</f>
        <v>291092831</v>
      </c>
      <c r="F29" s="499">
        <f t="shared" si="14"/>
        <v>405258250</v>
      </c>
      <c r="G29" s="499">
        <f t="shared" si="14"/>
        <v>411925498</v>
      </c>
      <c r="H29" s="499">
        <f t="shared" si="14"/>
        <v>510573583.85000014</v>
      </c>
      <c r="I29" s="499">
        <f t="shared" si="14"/>
        <v>557893385.98500037</v>
      </c>
      <c r="J29" s="499">
        <f t="shared" si="14"/>
        <v>596936116.58675027</v>
      </c>
    </row>
    <row r="30" spans="1:101" x14ac:dyDescent="0.25">
      <c r="A30" s="282"/>
      <c r="B30" s="244"/>
      <c r="C30" s="245"/>
      <c r="D30" s="499"/>
      <c r="E30" s="499"/>
      <c r="F30" s="499"/>
      <c r="G30" s="499"/>
      <c r="H30" s="499"/>
      <c r="I30" s="499"/>
      <c r="J30" s="500"/>
    </row>
    <row r="31" spans="1:101" s="195" customFormat="1" x14ac:dyDescent="0.25">
      <c r="A31" s="283" t="s">
        <v>11</v>
      </c>
      <c r="B31" s="247"/>
      <c r="C31" s="248"/>
      <c r="D31" s="494"/>
      <c r="E31" s="494">
        <f>'Client Input'!B12</f>
        <v>-483511</v>
      </c>
      <c r="F31" s="494">
        <f>'Client Input'!C12</f>
        <v>-1164053</v>
      </c>
      <c r="G31" s="494">
        <f>'Client Input'!D12</f>
        <v>-3814478</v>
      </c>
      <c r="H31" s="494">
        <f>'Client Input'!E12</f>
        <v>-4671663</v>
      </c>
      <c r="I31" s="494">
        <f>'Client Input'!F12</f>
        <v>-5138829.3000000007</v>
      </c>
      <c r="J31" s="494">
        <f>'Client Input'!G12</f>
        <v>-5652712.2300000014</v>
      </c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</row>
    <row r="32" spans="1:101" s="195" customFormat="1" x14ac:dyDescent="0.25">
      <c r="A32" s="344" t="s">
        <v>426</v>
      </c>
      <c r="B32" s="345"/>
      <c r="C32" s="346">
        <f>AVERAGEIF(E32:J32, "&lt;&gt;0")</f>
        <v>0.8218226248438022</v>
      </c>
      <c r="D32" s="493"/>
      <c r="E32" s="347">
        <f>IFERROR(E31/D31-1,0)</f>
        <v>0</v>
      </c>
      <c r="F32" s="347">
        <f t="shared" ref="F32" si="15">IFERROR(F31/E31-1,0)</f>
        <v>1.4075005532449105</v>
      </c>
      <c r="G32" s="347">
        <f t="shared" ref="G32" si="16">IFERROR(G31/F31-1,0)</f>
        <v>2.2768937496832189</v>
      </c>
      <c r="H32" s="347">
        <f t="shared" ref="H32" si="17">IFERROR(H31/G31-1,0)</f>
        <v>0.22471882129088172</v>
      </c>
      <c r="I32" s="347">
        <f t="shared" ref="I32" si="18">IFERROR(I31/H31-1,0)</f>
        <v>0.10000000000000009</v>
      </c>
      <c r="J32" s="351">
        <f t="shared" ref="J32" si="19">IFERROR(J31/I31-1,0)</f>
        <v>0.10000000000000009</v>
      </c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  <c r="CT32" s="194"/>
      <c r="CU32" s="194"/>
      <c r="CV32" s="194"/>
      <c r="CW32" s="194"/>
    </row>
    <row r="33" spans="1:101" s="195" customFormat="1" x14ac:dyDescent="0.25">
      <c r="A33" s="283" t="s">
        <v>13</v>
      </c>
      <c r="B33" s="247"/>
      <c r="C33" s="248"/>
      <c r="D33" s="494"/>
      <c r="E33" s="494">
        <f>'Client Input'!B13</f>
        <v>-61541642</v>
      </c>
      <c r="F33" s="494">
        <f>'Client Input'!C13</f>
        <v>-78898262</v>
      </c>
      <c r="G33" s="494">
        <f>'Client Input'!D13</f>
        <v>-103309159</v>
      </c>
      <c r="H33" s="494">
        <f>'Client Input'!E13</f>
        <v>-139467364.65000001</v>
      </c>
      <c r="I33" s="494">
        <f>'Client Input'!F13</f>
        <v>-167360837.58000001</v>
      </c>
      <c r="J33" s="494">
        <f>'Client Input'!G13</f>
        <v>-200833005.09600002</v>
      </c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  <c r="CT33" s="194"/>
      <c r="CU33" s="194"/>
      <c r="CV33" s="194"/>
      <c r="CW33" s="194"/>
    </row>
    <row r="34" spans="1:101" s="195" customFormat="1" x14ac:dyDescent="0.25">
      <c r="A34" s="344" t="s">
        <v>426</v>
      </c>
      <c r="B34" s="345"/>
      <c r="C34" s="346">
        <f>AVERAGEIF(E34:J34, "&lt;&gt;0")</f>
        <v>0.26828552877080414</v>
      </c>
      <c r="D34" s="493"/>
      <c r="E34" s="347">
        <f>IFERROR(E33/D33-1,0)</f>
        <v>0</v>
      </c>
      <c r="F34" s="347">
        <f t="shared" ref="F34" si="20">IFERROR(F33/E33-1,0)</f>
        <v>0.28203049895873766</v>
      </c>
      <c r="G34" s="347">
        <f t="shared" ref="G34" si="21">IFERROR(G33/F33-1,0)</f>
        <v>0.30939714489528303</v>
      </c>
      <c r="H34" s="347">
        <f t="shared" ref="H34" si="22">IFERROR(H33/G33-1,0)</f>
        <v>0.35000000000000009</v>
      </c>
      <c r="I34" s="347">
        <f t="shared" ref="I34" si="23">IFERROR(I33/H33-1,0)</f>
        <v>0.19999999999999996</v>
      </c>
      <c r="J34" s="351">
        <f t="shared" ref="J34" si="24">IFERROR(J33/I33-1,0)</f>
        <v>0.19999999999999996</v>
      </c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</row>
    <row r="35" spans="1:101" s="195" customFormat="1" x14ac:dyDescent="0.25">
      <c r="A35" s="816" t="s">
        <v>3094</v>
      </c>
      <c r="B35" s="793"/>
      <c r="C35" s="794"/>
      <c r="D35" s="494"/>
      <c r="E35" s="494">
        <f>'Client Input'!B15</f>
        <v>-20743440</v>
      </c>
      <c r="F35" s="494">
        <f>'Client Input'!C15</f>
        <v>-10805204</v>
      </c>
      <c r="G35" s="494">
        <f>'Client Input'!D15</f>
        <v>-86432263</v>
      </c>
      <c r="H35" s="494">
        <f>'Client Input'!E15</f>
        <v>-90000000</v>
      </c>
      <c r="I35" s="494">
        <f>'Client Input'!F15</f>
        <v>-90000000</v>
      </c>
      <c r="J35" s="494">
        <f>'Client Input'!G15</f>
        <v>-90000000</v>
      </c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</row>
    <row r="36" spans="1:101" s="195" customFormat="1" x14ac:dyDescent="0.25">
      <c r="A36" s="344" t="s">
        <v>426</v>
      </c>
      <c r="B36" s="345"/>
      <c r="C36" s="346">
        <f>AVERAGEIF(E36:J36, "&lt;&gt;0")</f>
        <v>2.187102719387878</v>
      </c>
      <c r="D36" s="493"/>
      <c r="E36" s="347">
        <f>IFERROR(E35/D35-1,0)</f>
        <v>0</v>
      </c>
      <c r="F36" s="347">
        <f t="shared" ref="F36" si="25">IFERROR(F35/E35-1,0)</f>
        <v>-0.47910259821900325</v>
      </c>
      <c r="G36" s="347">
        <f t="shared" ref="G36" si="26">IFERROR(G35/F35-1,0)</f>
        <v>6.9991329178051611</v>
      </c>
      <c r="H36" s="347">
        <f t="shared" ref="H36" si="27">IFERROR(H35/G35-1,0)</f>
        <v>4.1277838577476578E-2</v>
      </c>
      <c r="I36" s="347">
        <f t="shared" ref="I36" si="28">IFERROR(I35/H35-1,0)</f>
        <v>0</v>
      </c>
      <c r="J36" s="351">
        <f t="shared" ref="J36" si="29">IFERROR(J35/I35-1,0)</f>
        <v>0</v>
      </c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</row>
    <row r="37" spans="1:101" s="195" customFormat="1" x14ac:dyDescent="0.25">
      <c r="A37" s="816" t="s">
        <v>14</v>
      </c>
      <c r="B37" s="793"/>
      <c r="C37" s="794"/>
      <c r="D37" s="494"/>
      <c r="E37" s="494">
        <f>'Client Input'!B14</f>
        <v>-453000</v>
      </c>
      <c r="F37" s="494">
        <f>'Client Input'!C14</f>
        <v>-20166660</v>
      </c>
      <c r="G37" s="494">
        <f>'Client Input'!D14</f>
        <v>-2936450</v>
      </c>
      <c r="H37" s="494">
        <f>'Client Input'!E14</f>
        <v>-2936450</v>
      </c>
      <c r="I37" s="494">
        <f>'Client Input'!F14</f>
        <v>-2936450</v>
      </c>
      <c r="J37" s="494">
        <f>'Client Input'!G14</f>
        <v>-2936450</v>
      </c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</row>
    <row r="38" spans="1:101" s="195" customFormat="1" x14ac:dyDescent="0.25">
      <c r="A38" s="344" t="s">
        <v>426</v>
      </c>
      <c r="B38" s="345"/>
      <c r="C38" s="346">
        <f>AVERAGEIF(E38:J38, "&lt;&gt;0")</f>
        <v>21.331811192038728</v>
      </c>
      <c r="D38" s="493"/>
      <c r="E38" s="347">
        <f>IFERROR(E37/D37-1,0)</f>
        <v>0</v>
      </c>
      <c r="F38" s="347">
        <f t="shared" ref="F38" si="30">IFERROR(F37/E37-1,0)</f>
        <v>43.51801324503311</v>
      </c>
      <c r="G38" s="347">
        <f t="shared" ref="G38" si="31">IFERROR(G37/F37-1,0)</f>
        <v>-0.85439086095565653</v>
      </c>
      <c r="H38" s="347">
        <f t="shared" ref="H38" si="32">IFERROR(H37/G37-1,0)</f>
        <v>0</v>
      </c>
      <c r="I38" s="347">
        <f t="shared" ref="I38" si="33">IFERROR(I37/H37-1,0)</f>
        <v>0</v>
      </c>
      <c r="J38" s="351">
        <f t="shared" ref="J38" si="34">IFERROR(J37/I37-1,0)</f>
        <v>0</v>
      </c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</row>
    <row r="39" spans="1:101" s="195" customFormat="1" x14ac:dyDescent="0.25">
      <c r="A39" s="483" t="s">
        <v>1773</v>
      </c>
      <c r="B39" s="247"/>
      <c r="C39" s="248"/>
      <c r="D39" s="494">
        <v>0</v>
      </c>
      <c r="E39" s="494">
        <f>'Client Input'!B16</f>
        <v>0</v>
      </c>
      <c r="F39" s="494">
        <f>'Client Input'!C16</f>
        <v>0</v>
      </c>
      <c r="G39" s="494">
        <f>'Client Input'!D16</f>
        <v>0</v>
      </c>
      <c r="H39" s="494">
        <f>'Client Input'!E16</f>
        <v>0</v>
      </c>
      <c r="I39" s="494">
        <f>'Client Input'!F16</f>
        <v>0</v>
      </c>
      <c r="J39" s="494">
        <f>'Client Input'!G16</f>
        <v>0</v>
      </c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</row>
    <row r="40" spans="1:101" s="195" customFormat="1" x14ac:dyDescent="0.25">
      <c r="A40" s="344" t="s">
        <v>426</v>
      </c>
      <c r="B40" s="345"/>
      <c r="C40" s="346" t="e">
        <f>AVERAGEIF(E40:J40, "&lt;&gt;0")</f>
        <v>#DIV/0!</v>
      </c>
      <c r="D40" s="493"/>
      <c r="E40" s="347">
        <f>IFERROR(E39/D39-1,0)</f>
        <v>0</v>
      </c>
      <c r="F40" s="347">
        <f t="shared" ref="F40" si="35">IFERROR(F39/E39-1,0)</f>
        <v>0</v>
      </c>
      <c r="G40" s="347">
        <f t="shared" ref="G40" si="36">IFERROR(G39/F39-1,0)</f>
        <v>0</v>
      </c>
      <c r="H40" s="347">
        <f t="shared" ref="H40" si="37">IFERROR(H39/G39-1,0)</f>
        <v>0</v>
      </c>
      <c r="I40" s="347">
        <f t="shared" ref="I40" si="38">IFERROR(I39/H39-1,0)</f>
        <v>0</v>
      </c>
      <c r="J40" s="351">
        <f t="shared" ref="J40" si="39">IFERROR(J39/I39-1,0)</f>
        <v>0</v>
      </c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</row>
    <row r="41" spans="1:101" s="195" customFormat="1" x14ac:dyDescent="0.25">
      <c r="A41" s="283" t="s">
        <v>15</v>
      </c>
      <c r="B41" s="247"/>
      <c r="C41" s="248"/>
      <c r="D41" s="494">
        <v>0</v>
      </c>
      <c r="E41" s="494">
        <f>'Client Input'!B17</f>
        <v>0</v>
      </c>
      <c r="F41" s="494">
        <f>'Client Input'!C17</f>
        <v>0</v>
      </c>
      <c r="G41" s="494">
        <f>'Client Input'!D17</f>
        <v>0</v>
      </c>
      <c r="H41" s="494">
        <f>'Client Input'!E17</f>
        <v>0</v>
      </c>
      <c r="I41" s="494">
        <f>'Client Input'!F17</f>
        <v>0</v>
      </c>
      <c r="J41" s="494">
        <f>'Client Input'!G17</f>
        <v>-2186679.56</v>
      </c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</row>
    <row r="42" spans="1:101" s="195" customFormat="1" x14ac:dyDescent="0.25">
      <c r="A42" s="344" t="s">
        <v>426</v>
      </c>
      <c r="B42" s="345"/>
      <c r="C42" s="346" t="e">
        <f>AVERAGEIF(E42:J42, "&lt;&gt;0")</f>
        <v>#DIV/0!</v>
      </c>
      <c r="D42" s="493"/>
      <c r="E42" s="347">
        <f>IFERROR(E41/D41-1,0)</f>
        <v>0</v>
      </c>
      <c r="F42" s="347">
        <f t="shared" ref="F42" si="40">IFERROR(F41/E41-1,0)</f>
        <v>0</v>
      </c>
      <c r="G42" s="347">
        <f t="shared" ref="G42" si="41">IFERROR(G41/F41-1,0)</f>
        <v>0</v>
      </c>
      <c r="H42" s="347">
        <f t="shared" ref="H42" si="42">IFERROR(H41/G41-1,0)</f>
        <v>0</v>
      </c>
      <c r="I42" s="347">
        <f t="shared" ref="I42" si="43">IFERROR(I41/H41-1,0)</f>
        <v>0</v>
      </c>
      <c r="J42" s="351">
        <f t="shared" ref="J42" si="44">IFERROR(J41/I41-1,0)</f>
        <v>0</v>
      </c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</row>
    <row r="43" spans="1:101" x14ac:dyDescent="0.25">
      <c r="A43" s="284"/>
      <c r="B43" s="249"/>
      <c r="C43" s="250"/>
      <c r="D43" s="496"/>
      <c r="E43" s="496"/>
      <c r="F43" s="496"/>
      <c r="J43" s="501"/>
    </row>
    <row r="44" spans="1:101" x14ac:dyDescent="0.25">
      <c r="A44" s="282" t="s">
        <v>16</v>
      </c>
      <c r="B44" s="244"/>
      <c r="C44" s="245"/>
      <c r="D44" s="499">
        <f>D29+SUM(D31+D33+D37+D39+D41)</f>
        <v>0</v>
      </c>
      <c r="E44" s="499">
        <f>E29+SUM(E31+E33+E37+E39+E41+E35)</f>
        <v>207871238</v>
      </c>
      <c r="F44" s="499">
        <f t="shared" ref="F44:J44" si="45">F29+SUM(F31+F33+F37+F39+F41+F35)</f>
        <v>294224071</v>
      </c>
      <c r="G44" s="499">
        <f t="shared" si="45"/>
        <v>215433148</v>
      </c>
      <c r="H44" s="499">
        <f t="shared" si="45"/>
        <v>273498106.20000017</v>
      </c>
      <c r="I44" s="499">
        <f t="shared" si="45"/>
        <v>292457269.10500038</v>
      </c>
      <c r="J44" s="499">
        <f t="shared" si="45"/>
        <v>295327269.70075023</v>
      </c>
    </row>
    <row r="45" spans="1:101" x14ac:dyDescent="0.25">
      <c r="A45" s="344" t="s">
        <v>426</v>
      </c>
      <c r="B45" s="345"/>
      <c r="C45" s="346">
        <f>AVERAGEIF(E45:J45, "&lt;&gt;0")</f>
        <v>9.925675008604154E-2</v>
      </c>
      <c r="D45" s="493"/>
      <c r="E45" s="347">
        <f>IFERROR(E44/D44-1,0)</f>
        <v>0</v>
      </c>
      <c r="F45" s="347">
        <f t="shared" ref="F45" si="46">IFERROR(F44/E44-1,0)</f>
        <v>0.41541501282635362</v>
      </c>
      <c r="G45" s="347">
        <f t="shared" ref="G45" si="47">IFERROR(G44/F44-1,0)</f>
        <v>-0.26779223988101231</v>
      </c>
      <c r="H45" s="347">
        <f t="shared" ref="H45" si="48">IFERROR(H44/G44-1,0)</f>
        <v>0.26952657350576414</v>
      </c>
      <c r="I45" s="347">
        <f t="shared" ref="I45" si="49">IFERROR(I44/H44-1,0)</f>
        <v>6.9321002504989959E-2</v>
      </c>
      <c r="J45" s="351">
        <f t="shared" ref="J45" si="50">IFERROR(J44/I44-1,0)</f>
        <v>9.8134014741122488E-3</v>
      </c>
    </row>
    <row r="46" spans="1:101" s="195" customFormat="1" x14ac:dyDescent="0.25">
      <c r="A46" s="483" t="s">
        <v>1774</v>
      </c>
      <c r="B46" s="247"/>
      <c r="C46" s="248"/>
      <c r="D46" s="494"/>
      <c r="E46" s="494">
        <f>'Client Input'!B18</f>
        <v>-401675</v>
      </c>
      <c r="F46" s="494">
        <f>'Client Input'!C18</f>
        <v>-266420</v>
      </c>
      <c r="G46" s="494">
        <f>'Client Input'!D18</f>
        <v>-28188362</v>
      </c>
      <c r="H46" s="494">
        <f>'Client Input'!E18</f>
        <v>-25922052</v>
      </c>
      <c r="I46" s="494">
        <f>'Client Input'!F18</f>
        <v>-20737641.600000001</v>
      </c>
      <c r="J46" s="494">
        <f>'Client Input'!G18</f>
        <v>-15553231.200000001</v>
      </c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</row>
    <row r="47" spans="1:101" s="195" customFormat="1" x14ac:dyDescent="0.25">
      <c r="A47" s="344" t="s">
        <v>426</v>
      </c>
      <c r="B47" s="345"/>
      <c r="C47" s="346">
        <f>AVERAGEIF(E47:J47, "&lt;&gt;0")</f>
        <v>20.787420034525194</v>
      </c>
      <c r="D47" s="493"/>
      <c r="E47" s="347">
        <f>IFERROR(E46/D46-1,0)</f>
        <v>0</v>
      </c>
      <c r="F47" s="347">
        <f t="shared" ref="F47" si="51">IFERROR(F46/E46-1,0)</f>
        <v>-0.33672745378726587</v>
      </c>
      <c r="G47" s="347">
        <f t="shared" ref="G47" si="52">IFERROR(G46/F46-1,0)</f>
        <v>104.80422640942872</v>
      </c>
      <c r="H47" s="347">
        <f t="shared" ref="H47" si="53">IFERROR(H46/G46-1,0)</f>
        <v>-8.0398783015486974E-2</v>
      </c>
      <c r="I47" s="347">
        <f t="shared" ref="I47" si="54">IFERROR(I46/H46-1,0)</f>
        <v>-0.19999999999999996</v>
      </c>
      <c r="J47" s="351">
        <f t="shared" ref="J47" si="55">IFERROR(J46/I46-1,0)</f>
        <v>-0.25</v>
      </c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</row>
    <row r="48" spans="1:101" s="195" customFormat="1" x14ac:dyDescent="0.25">
      <c r="A48" s="816" t="s">
        <v>17</v>
      </c>
      <c r="B48" s="793"/>
      <c r="C48" s="794"/>
      <c r="D48" s="494">
        <v>0</v>
      </c>
      <c r="E48" s="494">
        <f>'Client Input'!B19</f>
        <v>0</v>
      </c>
      <c r="F48" s="494">
        <f>'Client Input'!C19</f>
        <v>0</v>
      </c>
      <c r="G48" s="494">
        <f>'Client Input'!D19</f>
        <v>0</v>
      </c>
      <c r="H48" s="494">
        <f>'Client Input'!E19</f>
        <v>0</v>
      </c>
      <c r="I48" s="494">
        <f>'Client Input'!F19</f>
        <v>0</v>
      </c>
      <c r="J48" s="494">
        <f>'Client Input'!G19</f>
        <v>0</v>
      </c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</row>
    <row r="49" spans="1:101" s="195" customFormat="1" x14ac:dyDescent="0.25">
      <c r="A49" s="344" t="s">
        <v>426</v>
      </c>
      <c r="B49" s="345"/>
      <c r="C49" s="346" t="e">
        <f>AVERAGEIF(E49:J49, "&lt;&gt;0")</f>
        <v>#DIV/0!</v>
      </c>
      <c r="D49" s="493"/>
      <c r="E49" s="347">
        <f>IFERROR(E48/D48-1,0)</f>
        <v>0</v>
      </c>
      <c r="F49" s="347">
        <f t="shared" ref="F49" si="56">IFERROR(F48/E48-1,0)</f>
        <v>0</v>
      </c>
      <c r="G49" s="347">
        <f t="shared" ref="G49" si="57">IFERROR(G48/F48-1,0)</f>
        <v>0</v>
      </c>
      <c r="H49" s="347">
        <f t="shared" ref="H49" si="58">IFERROR(H48/G48-1,0)</f>
        <v>0</v>
      </c>
      <c r="I49" s="347">
        <f t="shared" ref="I49" si="59">IFERROR(I48/H48-1,0)</f>
        <v>0</v>
      </c>
      <c r="J49" s="351">
        <f t="shared" ref="J49" si="60">IFERROR(J48/I48-1,0)</f>
        <v>0</v>
      </c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</row>
    <row r="50" spans="1:101" s="195" customFormat="1" x14ac:dyDescent="0.25">
      <c r="A50" s="283" t="s">
        <v>18</v>
      </c>
      <c r="B50" s="247"/>
      <c r="C50" s="248"/>
      <c r="D50" s="494"/>
      <c r="E50" s="494">
        <f>'Client Input'!B20</f>
        <v>14324165</v>
      </c>
      <c r="F50" s="494">
        <f>'Client Input'!C20</f>
        <v>54733782</v>
      </c>
      <c r="G50" s="494">
        <f>'Client Input'!D20</f>
        <v>75483386</v>
      </c>
      <c r="H50" s="494">
        <f>'Client Input'!E20</f>
        <v>48180444.333333336</v>
      </c>
      <c r="I50" s="494">
        <f>'Client Input'!F20</f>
        <v>48180445</v>
      </c>
      <c r="J50" s="494">
        <f>'Client Input'!G20</f>
        <v>48180445</v>
      </c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</row>
    <row r="51" spans="1:101" s="195" customFormat="1" x14ac:dyDescent="0.25">
      <c r="A51" s="344" t="s">
        <v>426</v>
      </c>
      <c r="B51" s="345"/>
      <c r="C51" s="346">
        <f>AVERAGEIF(E51:J51, "&lt;&gt;0")</f>
        <v>0.70961816551305879</v>
      </c>
      <c r="D51" s="493"/>
      <c r="E51" s="347">
        <f>IFERROR(E50/D50-1,0)</f>
        <v>0</v>
      </c>
      <c r="F51" s="347">
        <f t="shared" ref="F51" si="61">IFERROR(F50/E50-1,0)</f>
        <v>2.8210801118250175</v>
      </c>
      <c r="G51" s="347">
        <f t="shared" ref="G51" si="62">IFERROR(G50/F50-1,0)</f>
        <v>0.37910049775109633</v>
      </c>
      <c r="H51" s="347">
        <f t="shared" ref="H51" si="63">IFERROR(H50/G50-1,0)</f>
        <v>-0.36170796136075112</v>
      </c>
      <c r="I51" s="347">
        <f t="shared" ref="I51" si="64">IFERROR(I50/H50-1,0)</f>
        <v>1.3836872536643341E-8</v>
      </c>
      <c r="J51" s="351">
        <f t="shared" ref="J51" si="65">IFERROR(J50/I50-1,0)</f>
        <v>0</v>
      </c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</row>
    <row r="52" spans="1:101" s="195" customFormat="1" x14ac:dyDescent="0.25">
      <c r="A52" s="283" t="s">
        <v>19</v>
      </c>
      <c r="B52" s="247"/>
      <c r="C52" s="248"/>
      <c r="D52" s="494"/>
      <c r="E52" s="494">
        <f>'Client Input'!B21</f>
        <v>44014099</v>
      </c>
      <c r="F52" s="494">
        <f>'Client Input'!C21</f>
        <v>45408021</v>
      </c>
      <c r="G52" s="494">
        <f>'Client Input'!D21</f>
        <v>54202720</v>
      </c>
      <c r="H52" s="494">
        <f>'Client Input'!E21</f>
        <v>56912856</v>
      </c>
      <c r="I52" s="494">
        <f>'Client Input'!F21</f>
        <v>54202720</v>
      </c>
      <c r="J52" s="494">
        <f>'Client Input'!G21</f>
        <v>54202720</v>
      </c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</row>
    <row r="53" spans="1:101" s="195" customFormat="1" x14ac:dyDescent="0.25">
      <c r="A53" s="344" t="s">
        <v>426</v>
      </c>
      <c r="B53" s="345"/>
      <c r="C53" s="346">
        <f>AVERAGEIF(E53:J53, "&lt;&gt;0")</f>
        <v>5.693311707228027E-2</v>
      </c>
      <c r="D53" s="493"/>
      <c r="E53" s="347">
        <f>IFERROR(E52/D52-1,0)</f>
        <v>0</v>
      </c>
      <c r="F53" s="347">
        <f t="shared" ref="F53" si="66">IFERROR(F52/E52-1,0)</f>
        <v>3.1669897411736203E-2</v>
      </c>
      <c r="G53" s="347">
        <f t="shared" ref="G53" si="67">IFERROR(G52/F52-1,0)</f>
        <v>0.19368161849643251</v>
      </c>
      <c r="H53" s="347">
        <f t="shared" ref="H53" si="68">IFERROR(H52/G52-1,0)</f>
        <v>5.0000000000000044E-2</v>
      </c>
      <c r="I53" s="347">
        <f t="shared" ref="I53" si="69">IFERROR(I52/H52-1,0)</f>
        <v>-4.7619047619047672E-2</v>
      </c>
      <c r="J53" s="351">
        <f t="shared" ref="J53" si="70">IFERROR(J52/I52-1,0)</f>
        <v>0</v>
      </c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  <c r="CT53" s="194"/>
      <c r="CU53" s="194"/>
      <c r="CV53" s="194"/>
      <c r="CW53" s="194"/>
    </row>
    <row r="54" spans="1:101" s="195" customFormat="1" x14ac:dyDescent="0.25">
      <c r="A54" s="283" t="s">
        <v>20</v>
      </c>
      <c r="B54" s="247"/>
      <c r="C54" s="248"/>
      <c r="D54" s="494">
        <v>0</v>
      </c>
      <c r="E54" s="494">
        <f>'Client Input'!B22</f>
        <v>0</v>
      </c>
      <c r="F54" s="494">
        <f>'Client Input'!C22</f>
        <v>0</v>
      </c>
      <c r="G54" s="494">
        <f>'Client Input'!D22</f>
        <v>0</v>
      </c>
      <c r="H54" s="494">
        <f>'Client Input'!E22</f>
        <v>0</v>
      </c>
      <c r="I54" s="494">
        <f>'Client Input'!F22</f>
        <v>0</v>
      </c>
      <c r="J54" s="494">
        <f>'Client Input'!G22</f>
        <v>0</v>
      </c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</row>
    <row r="55" spans="1:101" s="195" customFormat="1" x14ac:dyDescent="0.25">
      <c r="A55" s="344" t="s">
        <v>426</v>
      </c>
      <c r="B55" s="345"/>
      <c r="C55" s="346" t="e">
        <f>AVERAGEIF(E55:J55, "&lt;&gt;0")</f>
        <v>#DIV/0!</v>
      </c>
      <c r="D55" s="493"/>
      <c r="E55" s="347">
        <f>IFERROR(E54/D54-1,0)</f>
        <v>0</v>
      </c>
      <c r="F55" s="347">
        <f t="shared" ref="F55" si="71">IFERROR(F54/E54-1,0)</f>
        <v>0</v>
      </c>
      <c r="G55" s="347">
        <f t="shared" ref="G55" si="72">IFERROR(G54/F54-1,0)</f>
        <v>0</v>
      </c>
      <c r="H55" s="347">
        <f t="shared" ref="H55" si="73">IFERROR(H54/G54-1,0)</f>
        <v>0</v>
      </c>
      <c r="I55" s="347">
        <f t="shared" ref="I55" si="74">IFERROR(I54/H54-1,0)</f>
        <v>0</v>
      </c>
      <c r="J55" s="351">
        <f t="shared" ref="J55" si="75">IFERROR(J54/I54-1,0)</f>
        <v>0</v>
      </c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</row>
    <row r="56" spans="1:101" s="195" customFormat="1" x14ac:dyDescent="0.25">
      <c r="A56" s="283" t="s">
        <v>21</v>
      </c>
      <c r="B56" s="247"/>
      <c r="C56" s="248"/>
      <c r="D56" s="494">
        <v>0</v>
      </c>
      <c r="E56" s="494">
        <f>'Client Input'!B23</f>
        <v>0</v>
      </c>
      <c r="F56" s="494">
        <f>'Client Input'!C23</f>
        <v>456454</v>
      </c>
      <c r="G56" s="494">
        <f>'Client Input'!D23</f>
        <v>122822</v>
      </c>
      <c r="H56" s="494">
        <f>'Client Input'!E23</f>
        <v>122822</v>
      </c>
      <c r="I56" s="494">
        <f>'Client Input'!F23</f>
        <v>122822</v>
      </c>
      <c r="J56" s="494">
        <f>'Client Input'!G23</f>
        <v>122822</v>
      </c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</row>
    <row r="57" spans="1:101" s="195" customFormat="1" x14ac:dyDescent="0.25">
      <c r="A57" s="344" t="s">
        <v>426</v>
      </c>
      <c r="B57" s="345"/>
      <c r="C57" s="346">
        <f>AVERAGEIF(E57:J57, "&lt;&gt;0")</f>
        <v>-0.73092140719546772</v>
      </c>
      <c r="D57" s="493"/>
      <c r="E57" s="347">
        <f>IFERROR(E56/D56-1,0)</f>
        <v>0</v>
      </c>
      <c r="F57" s="347">
        <f t="shared" ref="F57" si="76">IFERROR(F56/E56-1,0)</f>
        <v>0</v>
      </c>
      <c r="G57" s="347">
        <f t="shared" ref="G57" si="77">IFERROR(G56/F56-1,0)</f>
        <v>-0.73092140719546772</v>
      </c>
      <c r="H57" s="347">
        <f t="shared" ref="H57" si="78">IFERROR(H56/G56-1,0)</f>
        <v>0</v>
      </c>
      <c r="I57" s="347">
        <f t="shared" ref="I57" si="79">IFERROR(I56/H56-1,0)</f>
        <v>0</v>
      </c>
      <c r="J57" s="351">
        <f t="shared" ref="J57" si="80">IFERROR(J56/I56-1,0)</f>
        <v>0</v>
      </c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94"/>
      <c r="CV57" s="194"/>
      <c r="CW57" s="194"/>
    </row>
    <row r="58" spans="1:101" s="195" customFormat="1" x14ac:dyDescent="0.25">
      <c r="A58" s="283" t="s">
        <v>22</v>
      </c>
      <c r="B58" s="247"/>
      <c r="C58" s="248"/>
      <c r="D58" s="494">
        <v>0</v>
      </c>
      <c r="E58" s="494">
        <f>'Client Input'!B24</f>
        <v>0</v>
      </c>
      <c r="F58" s="494">
        <f>'Client Input'!C24</f>
        <v>0</v>
      </c>
      <c r="G58" s="494">
        <f>'Client Input'!D24</f>
        <v>0</v>
      </c>
      <c r="H58" s="494">
        <f>'Client Input'!E24</f>
        <v>0</v>
      </c>
      <c r="I58" s="494">
        <f>'Client Input'!F24</f>
        <v>0</v>
      </c>
      <c r="J58" s="494">
        <f>'Client Input'!G24</f>
        <v>0</v>
      </c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</row>
    <row r="59" spans="1:101" s="195" customFormat="1" x14ac:dyDescent="0.25">
      <c r="A59" s="344" t="s">
        <v>426</v>
      </c>
      <c r="B59" s="345"/>
      <c r="C59" s="346" t="e">
        <f>AVERAGEIF(E59:J59, "&lt;&gt;0")</f>
        <v>#DIV/0!</v>
      </c>
      <c r="D59" s="493"/>
      <c r="E59" s="347">
        <f>IFERROR(E58/D58-1,0)</f>
        <v>0</v>
      </c>
      <c r="F59" s="347">
        <f t="shared" ref="F59" si="81">IFERROR(F58/E58-1,0)</f>
        <v>0</v>
      </c>
      <c r="G59" s="347">
        <f t="shared" ref="G59" si="82">IFERROR(G58/F58-1,0)</f>
        <v>0</v>
      </c>
      <c r="H59" s="347">
        <f t="shared" ref="H59" si="83">IFERROR(H58/G58-1,0)</f>
        <v>0</v>
      </c>
      <c r="I59" s="347">
        <f t="shared" ref="I59" si="84">IFERROR(I58/H58-1,0)</f>
        <v>0</v>
      </c>
      <c r="J59" s="351">
        <f t="shared" ref="J59" si="85">IFERROR(J58/I58-1,0)</f>
        <v>0</v>
      </c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</row>
    <row r="60" spans="1:101" x14ac:dyDescent="0.25">
      <c r="A60" s="284"/>
      <c r="B60" s="251"/>
      <c r="C60" s="252"/>
      <c r="D60" s="502"/>
      <c r="E60" s="498"/>
      <c r="F60" s="496"/>
      <c r="J60" s="501"/>
    </row>
    <row r="61" spans="1:101" x14ac:dyDescent="0.25">
      <c r="A61" s="282" t="s">
        <v>23</v>
      </c>
      <c r="B61" s="244"/>
      <c r="C61" s="245"/>
      <c r="D61" s="499">
        <f>D44+SUM(D46+D48+D50+D52+D54+D56+D58)</f>
        <v>0</v>
      </c>
      <c r="E61" s="499">
        <f t="shared" ref="E61:J61" si="86">E44+SUM(E46+E48+E50+E52+E54+E56+E58)</f>
        <v>265807827</v>
      </c>
      <c r="F61" s="499">
        <f t="shared" si="86"/>
        <v>394555908</v>
      </c>
      <c r="G61" s="499">
        <f t="shared" si="86"/>
        <v>317053714</v>
      </c>
      <c r="H61" s="499">
        <f t="shared" si="86"/>
        <v>352792176.53333354</v>
      </c>
      <c r="I61" s="499">
        <f t="shared" si="86"/>
        <v>374225614.50500035</v>
      </c>
      <c r="J61" s="499">
        <f t="shared" si="86"/>
        <v>382280025.50075024</v>
      </c>
    </row>
    <row r="62" spans="1:101" x14ac:dyDescent="0.25">
      <c r="A62" s="344" t="s">
        <v>426</v>
      </c>
      <c r="B62" s="345"/>
      <c r="C62" s="346">
        <f>AVERAGEIF(E62:J62, "&lt;&gt;0")</f>
        <v>9.6586694582506863E-2</v>
      </c>
      <c r="D62" s="493"/>
      <c r="E62" s="347">
        <f>IFERROR(E61/D61-1,0)</f>
        <v>0</v>
      </c>
      <c r="F62" s="347">
        <f t="shared" ref="F62" si="87">IFERROR(F61/E61-1,0)</f>
        <v>0.48436527416478214</v>
      </c>
      <c r="G62" s="347">
        <f t="shared" ref="G62" si="88">IFERROR(G61/F61-1,0)</f>
        <v>-0.19642892788719823</v>
      </c>
      <c r="H62" s="347">
        <f t="shared" ref="H62" si="89">IFERROR(H61/G61-1,0)</f>
        <v>0.11272052953567835</v>
      </c>
      <c r="I62" s="347">
        <f t="shared" ref="I62" si="90">IFERROR(I61/H61-1,0)</f>
        <v>6.0753722438744884E-2</v>
      </c>
      <c r="J62" s="351">
        <f t="shared" ref="J62" si="91">IFERROR(J61/I61-1,0)</f>
        <v>2.1522874660527158E-2</v>
      </c>
    </row>
    <row r="63" spans="1:101" x14ac:dyDescent="0.25">
      <c r="A63" s="285" t="s">
        <v>24</v>
      </c>
      <c r="B63" s="253"/>
      <c r="C63" s="254"/>
      <c r="D63" s="499">
        <f>SUM(D65+D67)</f>
        <v>0</v>
      </c>
      <c r="E63" s="499">
        <f t="shared" ref="E63:J63" si="92">SUM(E65+E67)</f>
        <v>-65892715</v>
      </c>
      <c r="F63" s="499">
        <f t="shared" si="92"/>
        <v>-128319053</v>
      </c>
      <c r="G63" s="499">
        <f t="shared" si="92"/>
        <v>-75711554</v>
      </c>
      <c r="H63" s="499">
        <f t="shared" si="92"/>
        <v>-79378239.720000044</v>
      </c>
      <c r="I63" s="499">
        <f t="shared" si="92"/>
        <v>-84200763.263625085</v>
      </c>
      <c r="J63" s="499">
        <f t="shared" si="92"/>
        <v>-86013005.737668827</v>
      </c>
    </row>
    <row r="64" spans="1:101" x14ac:dyDescent="0.25">
      <c r="A64" s="344" t="s">
        <v>426</v>
      </c>
      <c r="B64" s="345"/>
      <c r="C64" s="346">
        <f>AVERAGEIF(E64:J64, "&lt;&gt;0")</f>
        <v>0.13362514169323197</v>
      </c>
      <c r="D64" s="493"/>
      <c r="E64" s="347">
        <f>IFERROR(E63/D63-1,0)</f>
        <v>0</v>
      </c>
      <c r="F64" s="347">
        <f t="shared" ref="F64" si="93">IFERROR(F63/E63-1,0)</f>
        <v>0.94739362310385911</v>
      </c>
      <c r="G64" s="347">
        <f t="shared" ref="G64" si="94">IFERROR(G63/F63-1,0)</f>
        <v>-0.40997418364675742</v>
      </c>
      <c r="H64" s="347">
        <f t="shared" ref="H64" si="95">IFERROR(H63/G63-1,0)</f>
        <v>4.8429671909785865E-2</v>
      </c>
      <c r="I64" s="347">
        <f t="shared" ref="I64" si="96">IFERROR(I63/H63-1,0)</f>
        <v>6.0753722438744884E-2</v>
      </c>
      <c r="J64" s="351">
        <f t="shared" ref="J64" si="97">IFERROR(J63/I63-1,0)</f>
        <v>2.152287466052738E-2</v>
      </c>
    </row>
    <row r="65" spans="1:101" s="195" customFormat="1" x14ac:dyDescent="0.25">
      <c r="A65" s="283" t="s">
        <v>25</v>
      </c>
      <c r="B65" s="247"/>
      <c r="C65" s="248"/>
      <c r="D65" s="494">
        <v>0</v>
      </c>
      <c r="E65" s="494">
        <f>'Client Input'!B25</f>
        <v>-65892715</v>
      </c>
      <c r="F65" s="494">
        <f>'Client Input'!C25</f>
        <v>-128319053</v>
      </c>
      <c r="G65" s="494">
        <f>'Client Input'!D25</f>
        <v>-75711554</v>
      </c>
      <c r="H65" s="494">
        <f>'Client Input'!E25</f>
        <v>-79378239.720000044</v>
      </c>
      <c r="I65" s="494">
        <f>'Client Input'!F25</f>
        <v>-84200763.263625085</v>
      </c>
      <c r="J65" s="494">
        <f>'Client Input'!G25</f>
        <v>-86013005.737668827</v>
      </c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</row>
    <row r="66" spans="1:101" s="195" customFormat="1" x14ac:dyDescent="0.25">
      <c r="A66" s="344" t="s">
        <v>426</v>
      </c>
      <c r="B66" s="345"/>
      <c r="C66" s="346">
        <f>AVERAGEIF(E66:J66, "&lt;&gt;0")</f>
        <v>0.13362514169323197</v>
      </c>
      <c r="D66" s="493"/>
      <c r="E66" s="347">
        <f>IFERROR(E65/D65-1,0)</f>
        <v>0</v>
      </c>
      <c r="F66" s="347">
        <f t="shared" ref="F66" si="98">IFERROR(F65/E65-1,0)</f>
        <v>0.94739362310385911</v>
      </c>
      <c r="G66" s="347">
        <f t="shared" ref="G66" si="99">IFERROR(G65/F65-1,0)</f>
        <v>-0.40997418364675742</v>
      </c>
      <c r="H66" s="347">
        <f t="shared" ref="H66" si="100">IFERROR(H65/G65-1,0)</f>
        <v>4.8429671909785865E-2</v>
      </c>
      <c r="I66" s="347">
        <f t="shared" ref="I66" si="101">IFERROR(I65/H65-1,0)</f>
        <v>6.0753722438744884E-2</v>
      </c>
      <c r="J66" s="351">
        <f t="shared" ref="J66" si="102">IFERROR(J65/I65-1,0)</f>
        <v>2.152287466052738E-2</v>
      </c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</row>
    <row r="67" spans="1:101" s="195" customFormat="1" x14ac:dyDescent="0.25">
      <c r="A67" s="283" t="s">
        <v>26</v>
      </c>
      <c r="B67" s="255"/>
      <c r="C67" s="248"/>
      <c r="D67" s="494">
        <v>0</v>
      </c>
      <c r="E67" s="494"/>
      <c r="F67" s="494"/>
      <c r="G67" s="494"/>
      <c r="H67" s="494"/>
      <c r="I67" s="494"/>
      <c r="J67" s="495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</row>
    <row r="68" spans="1:101" s="195" customFormat="1" x14ac:dyDescent="0.25">
      <c r="A68" s="344" t="s">
        <v>426</v>
      </c>
      <c r="B68" s="345"/>
      <c r="C68" s="346" t="e">
        <f>AVERAGEIF(E68:J68, "&lt;&gt;0")</f>
        <v>#DIV/0!</v>
      </c>
      <c r="D68" s="493"/>
      <c r="E68" s="347">
        <f>IFERROR(E67/D67-1,0)</f>
        <v>0</v>
      </c>
      <c r="F68" s="347">
        <f t="shared" ref="F68" si="103">IFERROR(F67/E67-1,0)</f>
        <v>0</v>
      </c>
      <c r="G68" s="347">
        <f t="shared" ref="G68" si="104">IFERROR(G67/F67-1,0)</f>
        <v>0</v>
      </c>
      <c r="H68" s="347">
        <f t="shared" ref="H68" si="105">IFERROR(H67/G67-1,0)</f>
        <v>0</v>
      </c>
      <c r="I68" s="347">
        <f t="shared" ref="I68" si="106">IFERROR(I67/H67-1,0)</f>
        <v>0</v>
      </c>
      <c r="J68" s="351">
        <f t="shared" ref="J68" si="107">IFERROR(J67/I67-1,0)</f>
        <v>0</v>
      </c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</row>
    <row r="69" spans="1:101" x14ac:dyDescent="0.25">
      <c r="A69" s="284"/>
      <c r="B69" s="249"/>
      <c r="C69" s="250"/>
      <c r="D69" s="496"/>
      <c r="E69" s="496"/>
      <c r="F69" s="496"/>
      <c r="J69" s="501"/>
    </row>
    <row r="70" spans="1:101" x14ac:dyDescent="0.25">
      <c r="A70" s="282" t="s">
        <v>27</v>
      </c>
      <c r="B70" s="244"/>
      <c r="C70" s="245"/>
      <c r="D70" s="499">
        <f t="shared" ref="D70:J70" si="108">D61+D63</f>
        <v>0</v>
      </c>
      <c r="E70" s="499">
        <f t="shared" si="108"/>
        <v>199915112</v>
      </c>
      <c r="F70" s="499">
        <f t="shared" si="108"/>
        <v>266236855</v>
      </c>
      <c r="G70" s="499">
        <f t="shared" si="108"/>
        <v>241342160</v>
      </c>
      <c r="H70" s="499">
        <f t="shared" si="108"/>
        <v>273413936.81333351</v>
      </c>
      <c r="I70" s="499">
        <f t="shared" si="108"/>
        <v>290024851.24137527</v>
      </c>
      <c r="J70" s="500">
        <f t="shared" si="108"/>
        <v>296267019.76308143</v>
      </c>
    </row>
    <row r="71" spans="1:101" x14ac:dyDescent="0.25">
      <c r="A71" s="344" t="s">
        <v>426</v>
      </c>
      <c r="B71" s="345"/>
      <c r="C71" s="346">
        <f>AVERAGEIF(E71:J71, "&lt;&gt;0")</f>
        <v>9.0681908794364524E-2</v>
      </c>
      <c r="D71" s="493"/>
      <c r="E71" s="347">
        <f>IFERROR(E70/D70-1,0)</f>
        <v>0</v>
      </c>
      <c r="F71" s="347">
        <f t="shared" ref="F71" si="109">IFERROR(F70/E70-1,0)</f>
        <v>0.33174952276744341</v>
      </c>
      <c r="G71" s="347">
        <f t="shared" ref="G71" si="110">IFERROR(G70/F70-1,0)</f>
        <v>-9.3505818343594838E-2</v>
      </c>
      <c r="H71" s="347">
        <f t="shared" ref="H71" si="111">IFERROR(H70/G70-1,0)</f>
        <v>0.13288924244870226</v>
      </c>
      <c r="I71" s="347">
        <f t="shared" ref="I71" si="112">IFERROR(I70/H70-1,0)</f>
        <v>6.0753722438744662E-2</v>
      </c>
      <c r="J71" s="351">
        <f t="shared" ref="J71" si="113">IFERROR(J70/I70-1,0)</f>
        <v>2.1522874660527158E-2</v>
      </c>
    </row>
    <row r="72" spans="1:101" s="195" customFormat="1" x14ac:dyDescent="0.25">
      <c r="A72" s="283" t="s">
        <v>28</v>
      </c>
      <c r="B72" s="247"/>
      <c r="C72" s="246"/>
      <c r="D72" s="494"/>
      <c r="E72" s="494">
        <f>'Client Input'!B26</f>
        <v>0</v>
      </c>
      <c r="F72" s="494">
        <f>'Client Input'!C26</f>
        <v>0</v>
      </c>
      <c r="G72" s="494">
        <f>'Client Input'!D26</f>
        <v>0</v>
      </c>
      <c r="H72" s="494">
        <f>'Client Input'!E26</f>
        <v>0</v>
      </c>
      <c r="I72" s="494">
        <f>'Client Input'!F26</f>
        <v>0</v>
      </c>
      <c r="J72" s="494">
        <f>'Client Input'!G26</f>
        <v>0</v>
      </c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</row>
    <row r="73" spans="1:101" s="195" customFormat="1" x14ac:dyDescent="0.25">
      <c r="A73" s="344" t="s">
        <v>426</v>
      </c>
      <c r="B73" s="345"/>
      <c r="C73" s="346" t="e">
        <f>AVERAGEIF(E73:J73, "&lt;&gt;0")</f>
        <v>#DIV/0!</v>
      </c>
      <c r="D73" s="493"/>
      <c r="E73" s="347">
        <f>IFERROR(E72/D72-1,0)</f>
        <v>0</v>
      </c>
      <c r="F73" s="347">
        <f t="shared" ref="F73" si="114">IFERROR(F72/E72-1,0)</f>
        <v>0</v>
      </c>
      <c r="G73" s="347">
        <f t="shared" ref="G73" si="115">IFERROR(G72/F72-1,0)</f>
        <v>0</v>
      </c>
      <c r="H73" s="347">
        <f t="shared" ref="H73" si="116">IFERROR(H72/G72-1,0)</f>
        <v>0</v>
      </c>
      <c r="I73" s="347">
        <f t="shared" ref="I73" si="117">IFERROR(I72/H72-1,0)</f>
        <v>0</v>
      </c>
      <c r="J73" s="351">
        <f t="shared" ref="J73" si="118">IFERROR(J72/I72-1,0)</f>
        <v>0</v>
      </c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  <c r="CT73" s="194"/>
      <c r="CU73" s="194"/>
      <c r="CV73" s="194"/>
      <c r="CW73" s="194"/>
    </row>
    <row r="74" spans="1:101" s="195" customFormat="1" x14ac:dyDescent="0.25">
      <c r="A74" s="283" t="s">
        <v>29</v>
      </c>
      <c r="B74" s="247"/>
      <c r="C74" s="246"/>
      <c r="D74" s="494">
        <v>0</v>
      </c>
      <c r="E74" s="494">
        <f>'Client Input'!B27</f>
        <v>0</v>
      </c>
      <c r="F74" s="494">
        <f>'Client Input'!C27</f>
        <v>0</v>
      </c>
      <c r="G74" s="494">
        <f>'Client Input'!D27</f>
        <v>0</v>
      </c>
      <c r="H74" s="494">
        <f>'Client Input'!E27</f>
        <v>0</v>
      </c>
      <c r="I74" s="494">
        <f>'Client Input'!F27</f>
        <v>0</v>
      </c>
      <c r="J74" s="494">
        <f>'Client Input'!G27</f>
        <v>0</v>
      </c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</row>
    <row r="75" spans="1:101" s="195" customFormat="1" x14ac:dyDescent="0.25">
      <c r="A75" s="344" t="s">
        <v>426</v>
      </c>
      <c r="B75" s="345"/>
      <c r="C75" s="346" t="e">
        <f>AVERAGEIF(E75:J75, "&lt;&gt;0")</f>
        <v>#DIV/0!</v>
      </c>
      <c r="D75" s="493"/>
      <c r="E75" s="347">
        <f>IFERROR(E74/D74-1,0)</f>
        <v>0</v>
      </c>
      <c r="F75" s="347">
        <f t="shared" ref="F75" si="119">IFERROR(F74/E74-1,0)</f>
        <v>0</v>
      </c>
      <c r="G75" s="347">
        <f t="shared" ref="G75" si="120">IFERROR(G74/F74-1,0)</f>
        <v>0</v>
      </c>
      <c r="H75" s="347">
        <f t="shared" ref="H75" si="121">IFERROR(H74/G74-1,0)</f>
        <v>0</v>
      </c>
      <c r="I75" s="347">
        <f t="shared" ref="I75" si="122">IFERROR(I74/H74-1,0)</f>
        <v>0</v>
      </c>
      <c r="J75" s="351">
        <f t="shared" ref="J75" si="123">IFERROR(J74/I74-1,0)</f>
        <v>0</v>
      </c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  <c r="CT75" s="194"/>
      <c r="CU75" s="194"/>
      <c r="CV75" s="194"/>
      <c r="CW75" s="194"/>
    </row>
    <row r="76" spans="1:101" s="195" customFormat="1" x14ac:dyDescent="0.25">
      <c r="A76" s="283" t="s">
        <v>30</v>
      </c>
      <c r="B76" s="247"/>
      <c r="C76" s="246"/>
      <c r="D76" s="494">
        <v>0</v>
      </c>
      <c r="E76" s="494">
        <f>'Client Input'!B28</f>
        <v>0</v>
      </c>
      <c r="F76" s="494">
        <f>'Client Input'!C28</f>
        <v>0</v>
      </c>
      <c r="G76" s="494">
        <f>'Client Input'!D28</f>
        <v>0</v>
      </c>
      <c r="H76" s="494">
        <f>'Client Input'!E28</f>
        <v>0</v>
      </c>
      <c r="I76" s="494">
        <f>'Client Input'!F28</f>
        <v>0</v>
      </c>
      <c r="J76" s="494">
        <f>'Client Input'!G28</f>
        <v>0</v>
      </c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</row>
    <row r="77" spans="1:101" s="195" customFormat="1" x14ac:dyDescent="0.25">
      <c r="A77" s="344" t="s">
        <v>426</v>
      </c>
      <c r="B77" s="345"/>
      <c r="C77" s="346" t="e">
        <f>AVERAGEIF(E77:J77, "&lt;&gt;0")</f>
        <v>#DIV/0!</v>
      </c>
      <c r="D77" s="493"/>
      <c r="E77" s="347">
        <f>IFERROR(E76/D76-1,0)</f>
        <v>0</v>
      </c>
      <c r="F77" s="347">
        <f t="shared" ref="F77" si="124">IFERROR(F76/E76-1,0)</f>
        <v>0</v>
      </c>
      <c r="G77" s="347">
        <f t="shared" ref="G77" si="125">IFERROR(G76/F76-1,0)</f>
        <v>0</v>
      </c>
      <c r="H77" s="347">
        <f t="shared" ref="H77" si="126">IFERROR(H76/G76-1,0)</f>
        <v>0</v>
      </c>
      <c r="I77" s="347">
        <f t="shared" ref="I77" si="127">IFERROR(I76/H76-1,0)</f>
        <v>0</v>
      </c>
      <c r="J77" s="351">
        <f t="shared" ref="J77" si="128">IFERROR(J76/I76-1,0)</f>
        <v>0</v>
      </c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</row>
    <row r="78" spans="1:101" s="195" customFormat="1" x14ac:dyDescent="0.25">
      <c r="A78" s="283" t="s">
        <v>30</v>
      </c>
      <c r="B78" s="247"/>
      <c r="C78" s="246"/>
      <c r="D78" s="494">
        <v>0</v>
      </c>
      <c r="E78" s="494">
        <f>'Client Input'!B29</f>
        <v>0</v>
      </c>
      <c r="F78" s="494">
        <f>'Client Input'!C29</f>
        <v>0</v>
      </c>
      <c r="G78" s="494">
        <f>'Client Input'!D29</f>
        <v>0</v>
      </c>
      <c r="H78" s="494">
        <f>'Client Input'!E29</f>
        <v>0</v>
      </c>
      <c r="I78" s="494">
        <f>'Client Input'!F29</f>
        <v>0</v>
      </c>
      <c r="J78" s="494">
        <f>'Client Input'!G29</f>
        <v>0</v>
      </c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</row>
    <row r="79" spans="1:101" s="195" customFormat="1" x14ac:dyDescent="0.25">
      <c r="A79" s="344" t="s">
        <v>426</v>
      </c>
      <c r="B79" s="345"/>
      <c r="C79" s="346" t="e">
        <f>AVERAGEIF(E79:J79, "&lt;&gt;0")</f>
        <v>#DIV/0!</v>
      </c>
      <c r="D79" s="493"/>
      <c r="E79" s="347">
        <f>IFERROR(E78/D78-1,0)</f>
        <v>0</v>
      </c>
      <c r="F79" s="347">
        <f t="shared" ref="F79" si="129">IFERROR(F78/E78-1,0)</f>
        <v>0</v>
      </c>
      <c r="G79" s="347">
        <f t="shared" ref="G79" si="130">IFERROR(G78/F78-1,0)</f>
        <v>0</v>
      </c>
      <c r="H79" s="347">
        <f t="shared" ref="H79" si="131">IFERROR(H78/G78-1,0)</f>
        <v>0</v>
      </c>
      <c r="I79" s="347">
        <f t="shared" ref="I79" si="132">IFERROR(I78/H78-1,0)</f>
        <v>0</v>
      </c>
      <c r="J79" s="351">
        <f t="shared" ref="J79" si="133">IFERROR(J78/I78-1,0)</f>
        <v>0</v>
      </c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  <c r="CT79" s="194"/>
      <c r="CU79" s="194"/>
      <c r="CV79" s="194"/>
      <c r="CW79" s="194"/>
    </row>
    <row r="80" spans="1:101" x14ac:dyDescent="0.25">
      <c r="A80" s="284"/>
      <c r="B80" s="251"/>
      <c r="C80" s="252"/>
      <c r="D80" s="496"/>
      <c r="E80" s="503"/>
      <c r="F80" s="498"/>
      <c r="J80" s="501"/>
    </row>
    <row r="81" spans="1:101" x14ac:dyDescent="0.25">
      <c r="A81" s="820" t="s">
        <v>31</v>
      </c>
      <c r="B81" s="821"/>
      <c r="C81" s="822"/>
      <c r="D81" s="499">
        <f>D70+SUM(D72+D74+D76+D78)</f>
        <v>0</v>
      </c>
      <c r="E81" s="499">
        <f t="shared" ref="E81:J81" si="134">E70+SUM(E72+E74+E76+E78)</f>
        <v>199915112</v>
      </c>
      <c r="F81" s="499">
        <f t="shared" si="134"/>
        <v>266236855</v>
      </c>
      <c r="G81" s="499">
        <f t="shared" si="134"/>
        <v>241342160</v>
      </c>
      <c r="H81" s="499">
        <f t="shared" si="134"/>
        <v>273413936.81333351</v>
      </c>
      <c r="I81" s="499">
        <f t="shared" si="134"/>
        <v>290024851.24137527</v>
      </c>
      <c r="J81" s="499">
        <f t="shared" si="134"/>
        <v>296267019.76308143</v>
      </c>
    </row>
    <row r="82" spans="1:101" x14ac:dyDescent="0.25">
      <c r="A82" s="344" t="s">
        <v>426</v>
      </c>
      <c r="B82" s="345"/>
      <c r="C82" s="346">
        <f>AVERAGEIF(E82:J82, "&lt;&gt;0")</f>
        <v>9.0681908794364524E-2</v>
      </c>
      <c r="D82" s="493"/>
      <c r="E82" s="347">
        <f>IFERROR(E81/D81-1,0)</f>
        <v>0</v>
      </c>
      <c r="F82" s="347">
        <f t="shared" ref="F82" si="135">IFERROR(F81/E81-1,0)</f>
        <v>0.33174952276744341</v>
      </c>
      <c r="G82" s="347">
        <f t="shared" ref="G82" si="136">IFERROR(G81/F81-1,0)</f>
        <v>-9.3505818343594838E-2</v>
      </c>
      <c r="H82" s="347">
        <f t="shared" ref="H82" si="137">IFERROR(H81/G81-1,0)</f>
        <v>0.13288924244870226</v>
      </c>
      <c r="I82" s="347">
        <f t="shared" ref="I82" si="138">IFERROR(I81/H81-1,0)</f>
        <v>6.0753722438744662E-2</v>
      </c>
      <c r="J82" s="351">
        <f t="shared" ref="J82" si="139">IFERROR(J81/I81-1,0)</f>
        <v>2.1522874660527158E-2</v>
      </c>
    </row>
    <row r="83" spans="1:101" s="195" customFormat="1" x14ac:dyDescent="0.25">
      <c r="A83" s="283" t="s">
        <v>32</v>
      </c>
      <c r="B83" s="247"/>
      <c r="C83" s="248"/>
      <c r="D83" s="494">
        <v>0</v>
      </c>
      <c r="E83" s="494">
        <f>'Client Input'!B31</f>
        <v>0</v>
      </c>
      <c r="F83" s="494">
        <f>'Client Input'!C31</f>
        <v>0</v>
      </c>
      <c r="G83" s="494">
        <f>'Client Input'!D31</f>
        <v>0</v>
      </c>
      <c r="H83" s="494">
        <f>'Client Input'!E31</f>
        <v>0</v>
      </c>
      <c r="I83" s="494">
        <f>'Client Input'!F31</f>
        <v>0</v>
      </c>
      <c r="J83" s="494">
        <f>'Client Input'!G31</f>
        <v>0</v>
      </c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  <c r="CT83" s="194"/>
      <c r="CU83" s="194"/>
      <c r="CV83" s="194"/>
      <c r="CW83" s="194"/>
    </row>
    <row r="84" spans="1:101" s="195" customFormat="1" x14ac:dyDescent="0.25">
      <c r="A84" s="344" t="s">
        <v>426</v>
      </c>
      <c r="B84" s="345"/>
      <c r="C84" s="346" t="e">
        <f>AVERAGEIF(E84:J84, "&lt;&gt;0")</f>
        <v>#DIV/0!</v>
      </c>
      <c r="D84" s="493"/>
      <c r="E84" s="347">
        <f>IFERROR(E83/D83-1,0)</f>
        <v>0</v>
      </c>
      <c r="F84" s="347">
        <f t="shared" ref="F84" si="140">IFERROR(F83/E83-1,0)</f>
        <v>0</v>
      </c>
      <c r="G84" s="347">
        <f t="shared" ref="G84" si="141">IFERROR(G83/F83-1,0)</f>
        <v>0</v>
      </c>
      <c r="H84" s="347">
        <f t="shared" ref="H84" si="142">IFERROR(H83/G83-1,0)</f>
        <v>0</v>
      </c>
      <c r="I84" s="347">
        <f t="shared" ref="I84" si="143">IFERROR(I83/H83-1,0)</f>
        <v>0</v>
      </c>
      <c r="J84" s="351">
        <f t="shared" ref="J84" si="144">IFERROR(J83/I83-1,0)</f>
        <v>0</v>
      </c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  <c r="CT84" s="194"/>
      <c r="CU84" s="194"/>
      <c r="CV84" s="194"/>
      <c r="CW84" s="194"/>
    </row>
    <row r="85" spans="1:101" s="195" customFormat="1" x14ac:dyDescent="0.25">
      <c r="A85" s="283" t="s">
        <v>33</v>
      </c>
      <c r="B85" s="247"/>
      <c r="C85" s="248"/>
      <c r="D85" s="494">
        <v>0</v>
      </c>
      <c r="E85" s="494">
        <f>'Client Input'!B32</f>
        <v>-175993300</v>
      </c>
      <c r="F85" s="494">
        <f>'Client Input'!C32</f>
        <v>-179923601</v>
      </c>
      <c r="G85" s="494">
        <f>'Client Input'!D32</f>
        <v>-239613169</v>
      </c>
      <c r="H85" s="494">
        <f>'Client Input'!E32</f>
        <v>0</v>
      </c>
      <c r="I85" s="494">
        <f>'Client Input'!F32</f>
        <v>-54863831</v>
      </c>
      <c r="J85" s="494">
        <f>'Client Input'!G32</f>
        <v>0</v>
      </c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</row>
    <row r="86" spans="1:101" s="195" customFormat="1" x14ac:dyDescent="0.25">
      <c r="A86" s="344" t="s">
        <v>426</v>
      </c>
      <c r="B86" s="345"/>
      <c r="C86" s="346">
        <f>AVERAGEIF(E86:J86, "&lt;&gt;0")</f>
        <v>-0.41147959391684519</v>
      </c>
      <c r="D86" s="493"/>
      <c r="E86" s="347">
        <f>IFERROR(E85/D85-1,0)</f>
        <v>0</v>
      </c>
      <c r="F86" s="347">
        <f t="shared" ref="F86" si="145">IFERROR(F85/E85-1,0)</f>
        <v>2.2332105824483195E-2</v>
      </c>
      <c r="G86" s="347">
        <f t="shared" ref="G86" si="146">IFERROR(G85/F85-1,0)</f>
        <v>0.33174951850813605</v>
      </c>
      <c r="H86" s="347">
        <f t="shared" ref="H86" si="147">IFERROR(H85/G85-1,0)</f>
        <v>-1</v>
      </c>
      <c r="I86" s="347">
        <f t="shared" ref="I86" si="148">IFERROR(I85/H85-1,0)</f>
        <v>0</v>
      </c>
      <c r="J86" s="351">
        <f t="shared" ref="J86" si="149">IFERROR(J85/I85-1,0)</f>
        <v>-1</v>
      </c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</row>
    <row r="87" spans="1:101" s="195" customFormat="1" x14ac:dyDescent="0.25">
      <c r="A87" s="283" t="s">
        <v>34</v>
      </c>
      <c r="B87" s="247"/>
      <c r="C87" s="248"/>
      <c r="D87" s="494">
        <v>0</v>
      </c>
      <c r="E87" s="494">
        <f>'Client Input'!B33</f>
        <v>-19554811.100000001</v>
      </c>
      <c r="F87" s="494">
        <f>'Client Input'!C33</f>
        <v>-19991511.199999988</v>
      </c>
      <c r="G87" s="494">
        <f>'Client Input'!D33</f>
        <v>-26623685.5</v>
      </c>
      <c r="H87" s="494">
        <f>'Client Input'!E33</f>
        <v>-24134216.00000003</v>
      </c>
      <c r="I87" s="494">
        <f>'Client Input'!F33</f>
        <v>-27341393.681332976</v>
      </c>
      <c r="J87" s="494">
        <f>'Client Input'!G33</f>
        <v>-29002485.124137998</v>
      </c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</row>
    <row r="88" spans="1:101" s="195" customFormat="1" x14ac:dyDescent="0.25">
      <c r="A88" s="344" t="s">
        <v>426</v>
      </c>
      <c r="B88" s="345"/>
      <c r="C88" s="346">
        <f>AVERAGEIF(E88:J88, "&lt;&gt;0")</f>
        <v>9.084375491605616E-2</v>
      </c>
      <c r="D88" s="493"/>
      <c r="E88" s="347">
        <f>IFERROR(E87/D87-1,0)</f>
        <v>0</v>
      </c>
      <c r="F88" s="347">
        <f t="shared" ref="F88" si="150">IFERROR(F87/E87-1,0)</f>
        <v>2.2332105268968228E-2</v>
      </c>
      <c r="G88" s="347">
        <f t="shared" ref="G88" si="151">IFERROR(G87/F87-1,0)</f>
        <v>0.33174952276744429</v>
      </c>
      <c r="H88" s="347">
        <f t="shared" ref="H88" si="152">IFERROR(H87/G87-1,0)</f>
        <v>-9.3505818343593727E-2</v>
      </c>
      <c r="I88" s="347">
        <f t="shared" ref="I88" si="153">IFERROR(I87/H87-1,0)</f>
        <v>0.13288924244868539</v>
      </c>
      <c r="J88" s="351">
        <f t="shared" ref="J88" si="154">IFERROR(J87/I87-1,0)</f>
        <v>6.0753722438776636E-2</v>
      </c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</row>
    <row r="89" spans="1:101" x14ac:dyDescent="0.25">
      <c r="A89" s="286"/>
      <c r="B89" s="251"/>
      <c r="C89" s="256"/>
      <c r="D89" s="504"/>
      <c r="E89" s="505"/>
      <c r="F89" s="506"/>
      <c r="J89" s="501"/>
    </row>
    <row r="90" spans="1:101" x14ac:dyDescent="0.25">
      <c r="A90" s="348" t="s">
        <v>35</v>
      </c>
      <c r="B90" s="349"/>
      <c r="C90" s="350"/>
      <c r="D90" s="507">
        <f>D81+SUM(D83+D85+D87)</f>
        <v>0</v>
      </c>
      <c r="E90" s="507">
        <f t="shared" ref="E90:J90" si="155">E81+SUM(E83+E85+E87)</f>
        <v>4367000.900000006</v>
      </c>
      <c r="F90" s="507">
        <f t="shared" si="155"/>
        <v>66321742.800000012</v>
      </c>
      <c r="G90" s="507">
        <f t="shared" si="155"/>
        <v>-24894694.5</v>
      </c>
      <c r="H90" s="507">
        <f t="shared" si="155"/>
        <v>249279720.81333348</v>
      </c>
      <c r="I90" s="507">
        <f t="shared" si="155"/>
        <v>207819626.56004229</v>
      </c>
      <c r="J90" s="507">
        <f t="shared" si="155"/>
        <v>267264534.63894343</v>
      </c>
    </row>
    <row r="91" spans="1:101" x14ac:dyDescent="0.25">
      <c r="A91" s="344" t="s">
        <v>426</v>
      </c>
      <c r="B91" s="345"/>
      <c r="C91" s="346">
        <f>AVERAGEIF(E91:J91, "&lt;&gt;0")</f>
        <v>0.3836028827762395</v>
      </c>
      <c r="D91" s="493"/>
      <c r="E91" s="347">
        <f>IFERROR(E90/D90-1,0)</f>
        <v>0</v>
      </c>
      <c r="F91" s="347">
        <f t="shared" ref="F91" si="156">IFERROR(F90/E90-1,0)</f>
        <v>14.187022929168602</v>
      </c>
      <c r="G91" s="347">
        <f t="shared" ref="G91" si="157">IFERROR(G90/F90-1,0)</f>
        <v>-1.3753624897203394</v>
      </c>
      <c r="H91" s="347">
        <f t="shared" ref="H91" si="158">IFERROR(H90/G90-1,0)</f>
        <v>-11.013367338704779</v>
      </c>
      <c r="I91" s="347">
        <f t="shared" ref="I91" si="159">IFERROR(I90/H90-1,0)</f>
        <v>-0.16631956309168638</v>
      </c>
      <c r="J91" s="351">
        <f t="shared" ref="J91" si="160">IFERROR(J90/I90-1,0)</f>
        <v>0.28604087622939978</v>
      </c>
    </row>
    <row r="92" spans="1:101" ht="13.8" thickBot="1" x14ac:dyDescent="0.3">
      <c r="A92" s="357"/>
      <c r="B92" s="356"/>
      <c r="C92" s="358"/>
      <c r="D92" s="508"/>
      <c r="E92" s="508"/>
      <c r="F92" s="508"/>
    </row>
    <row r="93" spans="1:101" ht="20.25" customHeight="1" x14ac:dyDescent="0.25">
      <c r="A93" s="823"/>
      <c r="B93" s="824"/>
      <c r="C93" s="826" t="s">
        <v>36</v>
      </c>
      <c r="D93" s="781" t="str">
        <f>D16</f>
        <v>Abbas</v>
      </c>
      <c r="E93" s="781"/>
      <c r="F93" s="781"/>
      <c r="G93" s="781"/>
      <c r="H93" s="781"/>
      <c r="I93" s="781"/>
      <c r="J93" s="781"/>
    </row>
    <row r="94" spans="1:101" ht="12.75" customHeight="1" x14ac:dyDescent="0.25">
      <c r="A94" s="805"/>
      <c r="B94" s="825"/>
      <c r="C94" s="827"/>
      <c r="D94" s="782"/>
      <c r="E94" s="782"/>
      <c r="F94" s="782"/>
      <c r="G94" s="782"/>
      <c r="H94" s="782"/>
      <c r="I94" s="782"/>
      <c r="J94" s="782"/>
    </row>
    <row r="95" spans="1:101" ht="20.25" customHeight="1" x14ac:dyDescent="0.25">
      <c r="A95" s="830" t="str">
        <f>A18</f>
        <v>EGP</v>
      </c>
      <c r="B95" s="831"/>
      <c r="C95" s="828" t="str">
        <f t="shared" ref="C95:J95" si="161">C18</f>
        <v>Units</v>
      </c>
      <c r="D95" s="638">
        <f t="shared" si="161"/>
        <v>0</v>
      </c>
      <c r="E95" s="638">
        <f t="shared" si="161"/>
        <v>2014</v>
      </c>
      <c r="F95" s="638">
        <f t="shared" si="161"/>
        <v>2015</v>
      </c>
      <c r="G95" s="638">
        <f t="shared" si="161"/>
        <v>2016</v>
      </c>
      <c r="H95" s="638">
        <f t="shared" si="161"/>
        <v>2017</v>
      </c>
      <c r="I95" s="638">
        <f t="shared" si="161"/>
        <v>2018</v>
      </c>
      <c r="J95" s="698">
        <f t="shared" si="161"/>
        <v>2019</v>
      </c>
    </row>
    <row r="96" spans="1:101" ht="21.75" customHeight="1" thickBot="1" x14ac:dyDescent="0.3">
      <c r="A96" s="832"/>
      <c r="B96" s="833"/>
      <c r="C96" s="829"/>
      <c r="D96" s="699">
        <f t="shared" ref="D96:J96" si="162">$D$14</f>
        <v>0</v>
      </c>
      <c r="E96" s="699">
        <f t="shared" si="162"/>
        <v>0</v>
      </c>
      <c r="F96" s="699">
        <f t="shared" si="162"/>
        <v>0</v>
      </c>
      <c r="G96" s="699">
        <f t="shared" si="162"/>
        <v>0</v>
      </c>
      <c r="H96" s="699">
        <f t="shared" si="162"/>
        <v>0</v>
      </c>
      <c r="I96" s="699">
        <f t="shared" si="162"/>
        <v>0</v>
      </c>
      <c r="J96" s="700">
        <f t="shared" si="162"/>
        <v>0</v>
      </c>
    </row>
    <row r="97" spans="1:101" ht="17.399999999999999" x14ac:dyDescent="0.25">
      <c r="A97" s="269"/>
      <c r="B97" s="1"/>
      <c r="C97" s="270" t="s">
        <v>37</v>
      </c>
      <c r="D97" s="505"/>
      <c r="E97" s="506"/>
      <c r="F97" s="506"/>
      <c r="J97" s="501"/>
    </row>
    <row r="98" spans="1:101" s="195" customFormat="1" x14ac:dyDescent="0.25">
      <c r="A98" s="795" t="s">
        <v>38</v>
      </c>
      <c r="B98" s="793"/>
      <c r="C98" s="794"/>
      <c r="D98" s="494"/>
      <c r="E98" s="494">
        <f>'Client Input'!B37</f>
        <v>196166489</v>
      </c>
      <c r="F98" s="494">
        <f>'Client Input'!C37</f>
        <v>185155383</v>
      </c>
      <c r="G98" s="494">
        <f>'Client Input'!D37</f>
        <v>624522836</v>
      </c>
      <c r="H98" s="494">
        <f>'Client Input'!E37</f>
        <v>624522836</v>
      </c>
      <c r="I98" s="494">
        <f>'Client Input'!F37</f>
        <v>693220347.96000004</v>
      </c>
      <c r="J98" s="494">
        <f>'Client Input'!G37</f>
        <v>831864417.55200005</v>
      </c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  <c r="CT98" s="194"/>
      <c r="CU98" s="194"/>
      <c r="CV98" s="194"/>
      <c r="CW98" s="194"/>
    </row>
    <row r="99" spans="1:101" s="195" customFormat="1" x14ac:dyDescent="0.25">
      <c r="A99" s="344" t="s">
        <v>426</v>
      </c>
      <c r="B99" s="345"/>
      <c r="C99" s="346">
        <f>AVERAGEIF(E99:J99, "&lt;&gt;0")</f>
        <v>0.65670867489869988</v>
      </c>
      <c r="D99" s="493"/>
      <c r="E99" s="347">
        <f>IFERROR(E98/D98-1,0)</f>
        <v>0</v>
      </c>
      <c r="F99" s="347">
        <f t="shared" ref="F99" si="163">IFERROR(F98/E98-1,0)</f>
        <v>-5.6131432316148588E-2</v>
      </c>
      <c r="G99" s="347">
        <f t="shared" ref="G99" si="164">IFERROR(G98/F98-1,0)</f>
        <v>2.3729661319109474</v>
      </c>
      <c r="H99" s="347">
        <f t="shared" ref="H99" si="165">IFERROR(H98/G98-1,0)</f>
        <v>0</v>
      </c>
      <c r="I99" s="347">
        <f t="shared" ref="I99" si="166">IFERROR(I98/H98-1,0)</f>
        <v>0.1100000000000001</v>
      </c>
      <c r="J99" s="351">
        <f t="shared" ref="J99" si="167">IFERROR(J98/I98-1,0)</f>
        <v>0.19999999999999996</v>
      </c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  <c r="CT99" s="194"/>
      <c r="CU99" s="194"/>
      <c r="CV99" s="194"/>
      <c r="CW99" s="194"/>
    </row>
    <row r="100" spans="1:101" s="195" customFormat="1" x14ac:dyDescent="0.25">
      <c r="A100" s="795" t="s">
        <v>39</v>
      </c>
      <c r="B100" s="793"/>
      <c r="C100" s="794"/>
      <c r="D100" s="494">
        <v>0</v>
      </c>
      <c r="E100" s="494">
        <f>'Client Input'!B38</f>
        <v>352820137</v>
      </c>
      <c r="F100" s="494">
        <f>'Client Input'!C38</f>
        <v>960775399</v>
      </c>
      <c r="G100" s="494">
        <f>'Client Input'!D38</f>
        <v>762691214</v>
      </c>
      <c r="H100" s="494">
        <f>'Client Input'!E38</f>
        <v>762691214</v>
      </c>
      <c r="I100" s="494">
        <f>'Client Input'!F38</f>
        <v>762691214</v>
      </c>
      <c r="J100" s="494">
        <f>'Client Input'!G38</f>
        <v>762691214</v>
      </c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</row>
    <row r="101" spans="1:101" s="195" customFormat="1" x14ac:dyDescent="0.25">
      <c r="A101" s="344" t="s">
        <v>426</v>
      </c>
      <c r="B101" s="345"/>
      <c r="C101" s="346">
        <f>AVERAGEIF(E101:J101, "&lt;&gt;0")</f>
        <v>0.75847984082118824</v>
      </c>
      <c r="D101" s="493"/>
      <c r="E101" s="347">
        <f>IFERROR(E100/D100-1,0)</f>
        <v>0</v>
      </c>
      <c r="F101" s="347">
        <f t="shared" ref="F101" si="168">IFERROR(F100/E100-1,0)</f>
        <v>1.7231308483959915</v>
      </c>
      <c r="G101" s="347">
        <f t="shared" ref="G101" si="169">IFERROR(G100/F100-1,0)</f>
        <v>-0.20617116675361502</v>
      </c>
      <c r="H101" s="347">
        <f t="shared" ref="H101" si="170">IFERROR(H100/G100-1,0)</f>
        <v>0</v>
      </c>
      <c r="I101" s="347">
        <f t="shared" ref="I101" si="171">IFERROR(I100/H100-1,0)</f>
        <v>0</v>
      </c>
      <c r="J101" s="351">
        <f t="shared" ref="J101" si="172">IFERROR(J100/I100-1,0)</f>
        <v>0</v>
      </c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</row>
    <row r="102" spans="1:101" s="195" customFormat="1" x14ac:dyDescent="0.25">
      <c r="A102" s="795" t="s">
        <v>40</v>
      </c>
      <c r="B102" s="793"/>
      <c r="C102" s="794"/>
      <c r="D102" s="494"/>
      <c r="E102" s="494">
        <f>'Client Input'!B39</f>
        <v>0</v>
      </c>
      <c r="F102" s="494">
        <f>'Client Input'!C39</f>
        <v>0</v>
      </c>
      <c r="G102" s="494">
        <f>'Client Input'!D39</f>
        <v>0</v>
      </c>
      <c r="H102" s="494">
        <f>'Client Input'!E39</f>
        <v>0</v>
      </c>
      <c r="I102" s="494">
        <f>'Client Input'!F39</f>
        <v>0</v>
      </c>
      <c r="J102" s="494">
        <f>'Client Input'!G39</f>
        <v>0</v>
      </c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</row>
    <row r="103" spans="1:101" s="195" customFormat="1" x14ac:dyDescent="0.25">
      <c r="A103" s="344" t="s">
        <v>426</v>
      </c>
      <c r="B103" s="345"/>
      <c r="C103" s="346" t="e">
        <f>AVERAGEIF(E103:J103, "&lt;&gt;0")</f>
        <v>#DIV/0!</v>
      </c>
      <c r="D103" s="493"/>
      <c r="E103" s="347">
        <f>IFERROR(E102/D102-1,0)</f>
        <v>0</v>
      </c>
      <c r="F103" s="347">
        <f t="shared" ref="F103" si="173">IFERROR(F102/E102-1,0)</f>
        <v>0</v>
      </c>
      <c r="G103" s="347">
        <f t="shared" ref="G103" si="174">IFERROR(G102/F102-1,0)</f>
        <v>0</v>
      </c>
      <c r="H103" s="347">
        <f t="shared" ref="H103" si="175">IFERROR(H102/G102-1,0)</f>
        <v>0</v>
      </c>
      <c r="I103" s="347">
        <f t="shared" ref="I103" si="176">IFERROR(I102/H102-1,0)</f>
        <v>0</v>
      </c>
      <c r="J103" s="351">
        <f t="shared" ref="J103" si="177">IFERROR(J102/I102-1,0)</f>
        <v>0</v>
      </c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  <c r="CT103" s="194"/>
      <c r="CU103" s="194"/>
      <c r="CV103" s="194"/>
      <c r="CW103" s="194"/>
    </row>
    <row r="104" spans="1:101" x14ac:dyDescent="0.25">
      <c r="A104" s="234"/>
      <c r="B104" s="235"/>
      <c r="C104" s="236"/>
      <c r="D104" s="509"/>
      <c r="E104" s="509"/>
      <c r="F104" s="509"/>
      <c r="G104" s="510"/>
      <c r="H104" s="510"/>
      <c r="I104" s="510"/>
      <c r="J104" s="511"/>
    </row>
    <row r="105" spans="1:101" s="195" customFormat="1" x14ac:dyDescent="0.25">
      <c r="A105" s="854" t="s">
        <v>41</v>
      </c>
      <c r="B105" s="855"/>
      <c r="C105" s="856"/>
      <c r="D105" s="494"/>
      <c r="E105" s="494">
        <f>'Client Input'!B40</f>
        <v>30825391</v>
      </c>
      <c r="F105" s="494">
        <f>'Client Input'!C40</f>
        <v>56294534</v>
      </c>
      <c r="G105" s="494">
        <f>'Client Input'!D40</f>
        <v>76429381</v>
      </c>
      <c r="H105" s="494">
        <f>'Client Input'!E40</f>
        <v>111186244.82191782</v>
      </c>
      <c r="I105" s="494">
        <f>'Client Input'!F40</f>
        <v>122304869.30410962</v>
      </c>
      <c r="J105" s="494">
        <f>'Client Input'!G40</f>
        <v>152024952.54500824</v>
      </c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</row>
    <row r="106" spans="1:101" s="195" customFormat="1" x14ac:dyDescent="0.25">
      <c r="A106" s="344" t="s">
        <v>426</v>
      </c>
      <c r="B106" s="345"/>
      <c r="C106" s="346">
        <f>AVERAGEIF(E106:J106, "&lt;&gt;0")</f>
        <v>0.39633332796295828</v>
      </c>
      <c r="D106" s="493"/>
      <c r="E106" s="347">
        <f>IFERROR(E105/D105-1,0)</f>
        <v>0</v>
      </c>
      <c r="F106" s="347">
        <f t="shared" ref="F106" si="178">IFERROR(F105/E105-1,0)</f>
        <v>0.82623908971665605</v>
      </c>
      <c r="G106" s="347">
        <f t="shared" ref="G106" si="179">IFERROR(G105/F105-1,0)</f>
        <v>0.35766966291967184</v>
      </c>
      <c r="H106" s="347">
        <f t="shared" ref="H106" si="180">IFERROR(H105/G105-1,0)</f>
        <v>0.45475788717846366</v>
      </c>
      <c r="I106" s="347">
        <f t="shared" ref="I106" si="181">IFERROR(I105/H105-1,0)</f>
        <v>0.10000000000000009</v>
      </c>
      <c r="J106" s="351">
        <f t="shared" ref="J106" si="182">IFERROR(J105/I105-1,0)</f>
        <v>0.24299999999999988</v>
      </c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</row>
    <row r="107" spans="1:101" s="195" customFormat="1" x14ac:dyDescent="0.25">
      <c r="A107" s="795" t="s">
        <v>42</v>
      </c>
      <c r="B107" s="793"/>
      <c r="C107" s="794"/>
      <c r="D107" s="494"/>
      <c r="E107" s="494">
        <f>'Client Input'!B41</f>
        <v>0</v>
      </c>
      <c r="F107" s="494">
        <f>'Client Input'!C41</f>
        <v>0</v>
      </c>
      <c r="G107" s="494">
        <f>'Client Input'!D41</f>
        <v>0</v>
      </c>
      <c r="H107" s="494">
        <f>'Client Input'!E41</f>
        <v>-11118624.482191782</v>
      </c>
      <c r="I107" s="494">
        <f>'Client Input'!F41</f>
        <v>-12230486.930410963</v>
      </c>
      <c r="J107" s="494">
        <f>'Client Input'!G41</f>
        <v>-15202495.254500825</v>
      </c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4"/>
      <c r="AX107" s="194"/>
      <c r="AY107" s="19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</row>
    <row r="108" spans="1:101" s="195" customFormat="1" x14ac:dyDescent="0.25">
      <c r="A108" s="344" t="s">
        <v>426</v>
      </c>
      <c r="B108" s="345"/>
      <c r="C108" s="346">
        <f>AVERAGEIF(E108:J108, "&lt;&gt;0")</f>
        <v>0.17149999999999999</v>
      </c>
      <c r="D108" s="493"/>
      <c r="E108" s="347">
        <f>IFERROR(E107/D107-1,0)</f>
        <v>0</v>
      </c>
      <c r="F108" s="347">
        <f t="shared" ref="F108" si="183">IFERROR(F107/E107-1,0)</f>
        <v>0</v>
      </c>
      <c r="G108" s="347">
        <f t="shared" ref="G108" si="184">IFERROR(G107/F107-1,0)</f>
        <v>0</v>
      </c>
      <c r="H108" s="347">
        <f t="shared" ref="H108" si="185">IFERROR(H107/G107-1,0)</f>
        <v>0</v>
      </c>
      <c r="I108" s="347">
        <f t="shared" ref="I108" si="186">IFERROR(I107/H107-1,0)</f>
        <v>0.10000000000000009</v>
      </c>
      <c r="J108" s="351">
        <f t="shared" ref="J108" si="187">IFERROR(J107/I107-1,0)</f>
        <v>0.24299999999999988</v>
      </c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</row>
    <row r="109" spans="1:101" x14ac:dyDescent="0.25">
      <c r="A109" s="257"/>
      <c r="B109" s="217"/>
      <c r="C109" s="216"/>
      <c r="D109" s="503"/>
      <c r="E109" s="503"/>
      <c r="F109" s="503"/>
      <c r="G109" s="512"/>
      <c r="H109" s="512"/>
      <c r="I109" s="512"/>
      <c r="J109" s="513"/>
    </row>
    <row r="110" spans="1:101" x14ac:dyDescent="0.25">
      <c r="A110" s="221" t="s">
        <v>43</v>
      </c>
      <c r="B110" s="222"/>
      <c r="C110" s="223"/>
      <c r="D110" s="499">
        <f>SUM(D105+D107)</f>
        <v>0</v>
      </c>
      <c r="E110" s="499">
        <f t="shared" ref="E110:J110" si="188">SUM(E105+E107)</f>
        <v>30825391</v>
      </c>
      <c r="F110" s="499">
        <f t="shared" si="188"/>
        <v>56294534</v>
      </c>
      <c r="G110" s="499">
        <f t="shared" si="188"/>
        <v>76429381</v>
      </c>
      <c r="H110" s="499">
        <f t="shared" si="188"/>
        <v>100067620.33972603</v>
      </c>
      <c r="I110" s="499">
        <f t="shared" si="188"/>
        <v>110074382.37369865</v>
      </c>
      <c r="J110" s="499">
        <f t="shared" si="188"/>
        <v>136822457.29050741</v>
      </c>
    </row>
    <row r="111" spans="1:101" x14ac:dyDescent="0.25">
      <c r="A111" s="344" t="s">
        <v>426</v>
      </c>
      <c r="B111" s="345"/>
      <c r="C111" s="346">
        <f>AVERAGEIF(E111:J111, "&lt;&gt;0")</f>
        <v>0.36723817021938904</v>
      </c>
      <c r="D111" s="493"/>
      <c r="E111" s="347">
        <f>IFERROR(E110/D110-1,0)</f>
        <v>0</v>
      </c>
      <c r="F111" s="347">
        <f t="shared" ref="F111" si="189">IFERROR(F110/E110-1,0)</f>
        <v>0.82623908971665605</v>
      </c>
      <c r="G111" s="347">
        <f t="shared" ref="G111" si="190">IFERROR(G110/F110-1,0)</f>
        <v>0.35766966291967184</v>
      </c>
      <c r="H111" s="347">
        <f t="shared" ref="H111" si="191">IFERROR(H110/G110-1,0)</f>
        <v>0.30928209846061727</v>
      </c>
      <c r="I111" s="347">
        <f t="shared" ref="I111" si="192">IFERROR(I110/H110-1,0)</f>
        <v>0.10000000000000009</v>
      </c>
      <c r="J111" s="351">
        <f t="shared" ref="J111" si="193">IFERROR(J110/I110-1,0)</f>
        <v>0.24299999999999988</v>
      </c>
    </row>
    <row r="112" spans="1:101" x14ac:dyDescent="0.25">
      <c r="A112" s="257"/>
      <c r="B112" s="217"/>
      <c r="C112" s="258"/>
      <c r="D112" s="514"/>
      <c r="E112" s="514"/>
      <c r="F112" s="514"/>
      <c r="G112" s="515"/>
      <c r="H112" s="515"/>
      <c r="I112" s="515"/>
      <c r="J112" s="516"/>
    </row>
    <row r="113" spans="1:101" s="195" customFormat="1" x14ac:dyDescent="0.25">
      <c r="A113" s="857" t="s">
        <v>44</v>
      </c>
      <c r="B113" s="857"/>
      <c r="C113" s="857"/>
      <c r="D113" s="494"/>
      <c r="E113" s="494">
        <f>'Client Input'!B42</f>
        <v>84379962</v>
      </c>
      <c r="F113" s="494">
        <f>'Client Input'!C42</f>
        <v>85653465</v>
      </c>
      <c r="G113" s="494">
        <f>'Client Input'!D42</f>
        <v>77813352</v>
      </c>
      <c r="H113" s="494">
        <f>'Client Input'!E42</f>
        <v>87025023.839178085</v>
      </c>
      <c r="I113" s="494">
        <f>'Client Input'!F42</f>
        <v>108781279.79897262</v>
      </c>
      <c r="J113" s="494">
        <f>'Client Input'!G42</f>
        <v>135106349.510324</v>
      </c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4"/>
      <c r="AX113" s="194"/>
      <c r="AY113" s="194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</row>
    <row r="114" spans="1:101" s="195" customFormat="1" x14ac:dyDescent="0.25">
      <c r="A114" s="344" t="s">
        <v>426</v>
      </c>
      <c r="B114" s="345"/>
      <c r="C114" s="346">
        <f>AVERAGEIF(E114:J114, "&lt;&gt;0")</f>
        <v>0.10678823637876063</v>
      </c>
      <c r="D114" s="493"/>
      <c r="E114" s="347">
        <f>IFERROR(E113/D113-1,0)</f>
        <v>0</v>
      </c>
      <c r="F114" s="347">
        <f t="shared" ref="F114" si="194">IFERROR(F113/E113-1,0)</f>
        <v>1.5092481316832052E-2</v>
      </c>
      <c r="G114" s="347">
        <f t="shared" ref="G114" si="195">IFERROR(G113/F113-1,0)</f>
        <v>-9.1532934481985073E-2</v>
      </c>
      <c r="H114" s="347">
        <f t="shared" ref="H114" si="196">IFERROR(H113/G113-1,0)</f>
        <v>0.11838163505895594</v>
      </c>
      <c r="I114" s="347">
        <f t="shared" ref="I114" si="197">IFERROR(I113/H113-1,0)</f>
        <v>0.25000000000000022</v>
      </c>
      <c r="J114" s="351">
        <f t="shared" ref="J114" si="198">IFERROR(J113/I113-1,0)</f>
        <v>0.24199999999999999</v>
      </c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194"/>
      <c r="AT114" s="194"/>
      <c r="AU114" s="194"/>
      <c r="AV114" s="194"/>
      <c r="AW114" s="194"/>
      <c r="AX114" s="194"/>
      <c r="AY114" s="194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</row>
    <row r="115" spans="1:101" s="195" customFormat="1" x14ac:dyDescent="0.25">
      <c r="A115" s="857" t="s">
        <v>45</v>
      </c>
      <c r="B115" s="857"/>
      <c r="C115" s="857"/>
      <c r="D115" s="494">
        <v>0</v>
      </c>
      <c r="E115" s="494">
        <f>'Client Input'!B43</f>
        <v>42477038</v>
      </c>
      <c r="F115" s="494">
        <f>'Client Input'!C43</f>
        <v>33077331</v>
      </c>
      <c r="G115" s="494">
        <f>'Client Input'!D43</f>
        <v>27780273</v>
      </c>
      <c r="H115" s="494">
        <f>'Client Input'!E43</f>
        <v>35601146.1160274</v>
      </c>
      <c r="I115" s="494">
        <f>'Client Input'!F43</f>
        <v>39161260.727630146</v>
      </c>
      <c r="J115" s="494">
        <f>'Client Input'!G43</f>
        <v>45035449.836774662</v>
      </c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</row>
    <row r="116" spans="1:101" s="195" customFormat="1" x14ac:dyDescent="0.25">
      <c r="A116" s="344" t="s">
        <v>426</v>
      </c>
      <c r="B116" s="345"/>
      <c r="C116" s="346">
        <f>AVERAGEIF(E116:J116, "&lt;&gt;0")</f>
        <v>3.0019073832800714E-2</v>
      </c>
      <c r="D116" s="493"/>
      <c r="E116" s="347">
        <f>IFERROR(E115/D115-1,0)</f>
        <v>0</v>
      </c>
      <c r="F116" s="347">
        <f t="shared" ref="F116" si="199">IFERROR(F115/E115-1,0)</f>
        <v>-0.22128913508517234</v>
      </c>
      <c r="G116" s="347">
        <f t="shared" ref="G116" si="200">IFERROR(G115/F115-1,0)</f>
        <v>-0.16014163899741485</v>
      </c>
      <c r="H116" s="347">
        <f t="shared" ref="H116" si="201">IFERROR(H115/G115-1,0)</f>
        <v>0.28152614324659075</v>
      </c>
      <c r="I116" s="347">
        <f t="shared" ref="I116" si="202">IFERROR(I115/H115-1,0)</f>
        <v>0.10000000000000009</v>
      </c>
      <c r="J116" s="351">
        <f t="shared" ref="J116" si="203">IFERROR(J115/I115-1,0)</f>
        <v>0.14999999999999991</v>
      </c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</row>
    <row r="117" spans="1:101" s="195" customFormat="1" x14ac:dyDescent="0.25">
      <c r="A117" s="857" t="s">
        <v>46</v>
      </c>
      <c r="B117" s="857"/>
      <c r="C117" s="857"/>
      <c r="D117" s="494"/>
      <c r="E117" s="494">
        <f>'Client Input'!B44</f>
        <v>38348601</v>
      </c>
      <c r="F117" s="494">
        <f>'Client Input'!C44</f>
        <v>43536038</v>
      </c>
      <c r="G117" s="494">
        <f>'Client Input'!D44</f>
        <v>40490653</v>
      </c>
      <c r="H117" s="494">
        <f>'Client Input'!E44</f>
        <v>43512511.919589043</v>
      </c>
      <c r="I117" s="494">
        <f>'Client Input'!F44</f>
        <v>47863763.111547954</v>
      </c>
      <c r="J117" s="494">
        <f>'Client Input'!G44</f>
        <v>55043327.578280143</v>
      </c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</row>
    <row r="118" spans="1:101" s="195" customFormat="1" x14ac:dyDescent="0.25">
      <c r="A118" s="344" t="s">
        <v>426</v>
      </c>
      <c r="B118" s="345"/>
      <c r="C118" s="346">
        <f>AVERAGEIF(E118:J118, "&lt;&gt;0")</f>
        <v>7.799013849878815E-2</v>
      </c>
      <c r="D118" s="493"/>
      <c r="E118" s="347">
        <f>IFERROR(E117/D117-1,0)</f>
        <v>0</v>
      </c>
      <c r="F118" s="347">
        <f t="shared" ref="F118" si="204">IFERROR(F117/E117-1,0)</f>
        <v>0.13527056697583317</v>
      </c>
      <c r="G118" s="347">
        <f t="shared" ref="G118" si="205">IFERROR(G117/F117-1,0)</f>
        <v>-6.9950899068950689E-2</v>
      </c>
      <c r="H118" s="347">
        <f t="shared" ref="H118" si="206">IFERROR(H117/G117-1,0)</f>
        <v>7.4631024587058281E-2</v>
      </c>
      <c r="I118" s="347">
        <f t="shared" ref="I118" si="207">IFERROR(I117/H117-1,0)</f>
        <v>0.10000000000000009</v>
      </c>
      <c r="J118" s="351">
        <f t="shared" ref="J118" si="208">IFERROR(J117/I117-1,0)</f>
        <v>0.14999999999999991</v>
      </c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</row>
    <row r="119" spans="1:101" s="195" customFormat="1" x14ac:dyDescent="0.25">
      <c r="A119" s="792" t="s">
        <v>371</v>
      </c>
      <c r="B119" s="793"/>
      <c r="C119" s="794"/>
      <c r="D119" s="494"/>
      <c r="E119" s="494">
        <f>'Client Input'!B45</f>
        <v>64978398</v>
      </c>
      <c r="F119" s="494">
        <f>'Client Input'!C45</f>
        <v>119195629</v>
      </c>
      <c r="G119" s="494">
        <f>'Client Input'!D45</f>
        <v>139941988</v>
      </c>
      <c r="H119" s="494">
        <f>'Client Input'!E45</f>
        <v>142404584.4641096</v>
      </c>
      <c r="I119" s="494">
        <f>'Client Input'!F45</f>
        <v>165347545.29443839</v>
      </c>
      <c r="J119" s="494">
        <f>'Client Input'!G45</f>
        <v>190149677.08860412</v>
      </c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</row>
    <row r="120" spans="1:101" s="195" customFormat="1" x14ac:dyDescent="0.25">
      <c r="A120" s="344" t="s">
        <v>426</v>
      </c>
      <c r="B120" s="345"/>
      <c r="C120" s="346">
        <f>AVERAGEIF(E120:J120, "&lt;&gt;0")</f>
        <v>0.26742998831108078</v>
      </c>
      <c r="D120" s="493"/>
      <c r="E120" s="347">
        <f>IFERROR(E119/D119-1,0)</f>
        <v>0</v>
      </c>
      <c r="F120" s="347">
        <f t="shared" ref="F120" si="209">IFERROR(F119/E119-1,0)</f>
        <v>0.83438854555940267</v>
      </c>
      <c r="G120" s="347">
        <f t="shared" ref="G120" si="210">IFERROR(G119/F119-1,0)</f>
        <v>0.17405301833677145</v>
      </c>
      <c r="H120" s="347">
        <f t="shared" ref="H120" si="211">IFERROR(H119/G119-1,0)</f>
        <v>1.7597266548118551E-2</v>
      </c>
      <c r="I120" s="347">
        <f t="shared" ref="I120" si="212">IFERROR(I119/H119-1,0)</f>
        <v>0.1611111111111112</v>
      </c>
      <c r="J120" s="351">
        <f t="shared" ref="J120" si="213">IFERROR(J119/I119-1,0)</f>
        <v>0.14999999999999991</v>
      </c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</row>
    <row r="121" spans="1:101" s="195" customFormat="1" x14ac:dyDescent="0.25">
      <c r="A121" s="857" t="s">
        <v>47</v>
      </c>
      <c r="B121" s="857"/>
      <c r="C121" s="857"/>
      <c r="D121" s="494"/>
      <c r="E121" s="494">
        <f>'Client Input'!B46</f>
        <v>0</v>
      </c>
      <c r="F121" s="494">
        <f>'Client Input'!C46</f>
        <v>0</v>
      </c>
      <c r="G121" s="494">
        <f>'Client Input'!D46</f>
        <v>0</v>
      </c>
      <c r="H121" s="494">
        <f>'Client Input'!E46</f>
        <v>0</v>
      </c>
      <c r="I121" s="494">
        <f>'Client Input'!F46</f>
        <v>0</v>
      </c>
      <c r="J121" s="494">
        <f>'Client Input'!G46</f>
        <v>0</v>
      </c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</row>
    <row r="122" spans="1:101" s="195" customFormat="1" x14ac:dyDescent="0.25">
      <c r="A122" s="344" t="s">
        <v>426</v>
      </c>
      <c r="B122" s="345"/>
      <c r="C122" s="346" t="e">
        <f>AVERAGEIF(E122:J122, "&lt;&gt;0")</f>
        <v>#DIV/0!</v>
      </c>
      <c r="D122" s="493"/>
      <c r="E122" s="347">
        <f>IFERROR(E121/D121-1,0)</f>
        <v>0</v>
      </c>
      <c r="F122" s="347">
        <f t="shared" ref="F122" si="214">IFERROR(F121/E121-1,0)</f>
        <v>0</v>
      </c>
      <c r="G122" s="347">
        <f t="shared" ref="G122" si="215">IFERROR(G121/F121-1,0)</f>
        <v>0</v>
      </c>
      <c r="H122" s="347">
        <f t="shared" ref="H122" si="216">IFERROR(H121/G121-1,0)</f>
        <v>0</v>
      </c>
      <c r="I122" s="347">
        <f t="shared" ref="I122" si="217">IFERROR(I121/H121-1,0)</f>
        <v>0</v>
      </c>
      <c r="J122" s="351">
        <f t="shared" ref="J122" si="218">IFERROR(J121/I121-1,0)</f>
        <v>0</v>
      </c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</row>
    <row r="123" spans="1:101" s="195" customFormat="1" x14ac:dyDescent="0.25">
      <c r="A123" s="857" t="s">
        <v>42</v>
      </c>
      <c r="B123" s="857"/>
      <c r="C123" s="857"/>
      <c r="D123" s="494"/>
      <c r="E123" s="494">
        <f>'Client Input'!B47</f>
        <v>-440181</v>
      </c>
      <c r="F123" s="494">
        <f>'Client Input'!C47</f>
        <v>-440181</v>
      </c>
      <c r="G123" s="494">
        <f>'Client Input'!D47</f>
        <v>-422291</v>
      </c>
      <c r="H123" s="494">
        <f>'Client Input'!E47</f>
        <v>-500000</v>
      </c>
      <c r="I123" s="494">
        <f>'Client Input'!F47</f>
        <v>-550000</v>
      </c>
      <c r="J123" s="494">
        <f>'Client Input'!G47</f>
        <v>-616000.00000000012</v>
      </c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4"/>
      <c r="AL123" s="194"/>
      <c r="AM123" s="194"/>
      <c r="AN123" s="194"/>
      <c r="AO123" s="194"/>
      <c r="AP123" s="194"/>
      <c r="AQ123" s="194"/>
      <c r="AR123" s="194"/>
      <c r="AS123" s="194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</row>
    <row r="124" spans="1:101" s="195" customFormat="1" x14ac:dyDescent="0.25">
      <c r="A124" s="344" t="s">
        <v>426</v>
      </c>
      <c r="B124" s="345"/>
      <c r="C124" s="346">
        <f>AVERAGEIF(E124:J124, "&lt;&gt;0")</f>
        <v>9.0843820989045088E-2</v>
      </c>
      <c r="D124" s="493"/>
      <c r="E124" s="347">
        <f>IFERROR(E123/D123-1,0)</f>
        <v>0</v>
      </c>
      <c r="F124" s="347">
        <f t="shared" ref="F124" si="219">IFERROR(F123/E123-1,0)</f>
        <v>0</v>
      </c>
      <c r="G124" s="347">
        <f t="shared" ref="G124" si="220">IFERROR(G123/F123-1,0)</f>
        <v>-4.0642372115107239E-2</v>
      </c>
      <c r="H124" s="347">
        <f t="shared" ref="H124" si="221">IFERROR(H123/G123-1,0)</f>
        <v>0.18401765607128739</v>
      </c>
      <c r="I124" s="347">
        <f t="shared" ref="I124" si="222">IFERROR(I123/H123-1,0)</f>
        <v>0.10000000000000009</v>
      </c>
      <c r="J124" s="351">
        <f t="shared" ref="J124" si="223">IFERROR(J123/I123-1,0)</f>
        <v>0.12000000000000011</v>
      </c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</row>
    <row r="125" spans="1:101" s="199" customFormat="1" x14ac:dyDescent="0.25">
      <c r="A125" s="200"/>
      <c r="B125" s="201"/>
      <c r="C125" s="202"/>
      <c r="D125" s="517"/>
      <c r="E125" s="517"/>
      <c r="F125" s="517"/>
      <c r="G125" s="518"/>
      <c r="H125" s="518"/>
      <c r="I125" s="518"/>
      <c r="J125" s="519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4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</row>
    <row r="126" spans="1:101" s="199" customFormat="1" x14ac:dyDescent="0.25">
      <c r="A126" s="259" t="s">
        <v>48</v>
      </c>
      <c r="B126" s="260"/>
      <c r="C126" s="261"/>
      <c r="D126" s="520">
        <f>SUM(D113+D115+D117+D119+D121+D123)</f>
        <v>0</v>
      </c>
      <c r="E126" s="520">
        <f t="shared" ref="E126:J126" si="224">SUM(E113+E115+E117+E119+E121+E123)</f>
        <v>229743818</v>
      </c>
      <c r="F126" s="520">
        <f t="shared" si="224"/>
        <v>281022282</v>
      </c>
      <c r="G126" s="520">
        <f t="shared" si="224"/>
        <v>285603975</v>
      </c>
      <c r="H126" s="520">
        <f t="shared" si="224"/>
        <v>308043266.33890414</v>
      </c>
      <c r="I126" s="520">
        <f t="shared" si="224"/>
        <v>360603848.93258911</v>
      </c>
      <c r="J126" s="520">
        <f t="shared" si="224"/>
        <v>424718804.01398289</v>
      </c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4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</row>
    <row r="127" spans="1:101" s="199" customFormat="1" x14ac:dyDescent="0.25">
      <c r="A127" s="344" t="s">
        <v>426</v>
      </c>
      <c r="B127" s="345"/>
      <c r="C127" s="346">
        <f>AVERAGEIF(E127:J127, "&lt;&gt;0")</f>
        <v>0.13329922125813592</v>
      </c>
      <c r="D127" s="493"/>
      <c r="E127" s="347">
        <f>IFERROR(E126/D126-1,0)</f>
        <v>0</v>
      </c>
      <c r="F127" s="347">
        <f t="shared" ref="F127" si="225">IFERROR(F126/E126-1,0)</f>
        <v>0.22319844967493307</v>
      </c>
      <c r="G127" s="347">
        <f t="shared" ref="G127" si="226">IFERROR(G126/F126-1,0)</f>
        <v>1.6303664490205705E-2</v>
      </c>
      <c r="H127" s="347">
        <f t="shared" ref="H127" si="227">IFERROR(H126/G126-1,0)</f>
        <v>7.8567853752400163E-2</v>
      </c>
      <c r="I127" s="347">
        <f t="shared" ref="I127" si="228">IFERROR(I126/H126-1,0)</f>
        <v>0.17062727329951977</v>
      </c>
      <c r="J127" s="351">
        <f t="shared" ref="J127" si="229">IFERROR(J126/I126-1,0)</f>
        <v>0.17779886507362086</v>
      </c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4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</row>
    <row r="128" spans="1:101" x14ac:dyDescent="0.25">
      <c r="A128" s="263"/>
      <c r="B128" s="264"/>
      <c r="C128" s="262"/>
      <c r="D128" s="521"/>
      <c r="E128" s="522"/>
      <c r="F128" s="523"/>
      <c r="G128" s="524"/>
      <c r="H128" s="524"/>
      <c r="I128" s="524"/>
      <c r="J128" s="525"/>
    </row>
    <row r="129" spans="1:101" s="195" customFormat="1" x14ac:dyDescent="0.25">
      <c r="A129" s="795" t="s">
        <v>49</v>
      </c>
      <c r="B129" s="793"/>
      <c r="C129" s="794"/>
      <c r="D129" s="494"/>
      <c r="E129" s="494">
        <f>'Client Input'!B48</f>
        <v>19689799</v>
      </c>
      <c r="F129" s="494">
        <f>'Client Input'!C48</f>
        <v>10175245</v>
      </c>
      <c r="G129" s="494">
        <f>'Client Input'!D48</f>
        <v>8353760</v>
      </c>
      <c r="H129" s="494">
        <f>'Client Input'!E48</f>
        <v>11867048.705342466</v>
      </c>
      <c r="I129" s="494">
        <f>'Client Input'!F48</f>
        <v>17405004.767835621</v>
      </c>
      <c r="J129" s="494">
        <f>'Client Input'!G48</f>
        <v>30023633.22451644</v>
      </c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4"/>
      <c r="AT129" s="194"/>
      <c r="AU129" s="194"/>
      <c r="AV129" s="194"/>
      <c r="AW129" s="194"/>
      <c r="AX129" s="194"/>
      <c r="AY129" s="194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</row>
    <row r="130" spans="1:101" s="195" customFormat="1" x14ac:dyDescent="0.25">
      <c r="A130" s="344" t="s">
        <v>426</v>
      </c>
      <c r="B130" s="345"/>
      <c r="C130" s="346">
        <f>AVERAGEIF(E130:J130, "&lt;&gt;0")</f>
        <v>0.18999930114761782</v>
      </c>
      <c r="D130" s="493"/>
      <c r="E130" s="347">
        <f>IFERROR(E129/D129-1,0)</f>
        <v>0</v>
      </c>
      <c r="F130" s="347">
        <f t="shared" ref="F130" si="230">IFERROR(F129/E129-1,0)</f>
        <v>-0.48322250521704158</v>
      </c>
      <c r="G130" s="347">
        <f t="shared" ref="G130" si="231">IFERROR(G129/F129-1,0)</f>
        <v>-0.17901141446717006</v>
      </c>
      <c r="H130" s="347">
        <f t="shared" ref="H130" si="232">IFERROR(H129/G129-1,0)</f>
        <v>0.42056375875563412</v>
      </c>
      <c r="I130" s="347">
        <f t="shared" ref="I130" si="233">IFERROR(I129/H129-1,0)</f>
        <v>0.46666666666666701</v>
      </c>
      <c r="J130" s="351">
        <f t="shared" ref="J130" si="234">IFERROR(J129/I129-1,0)</f>
        <v>0.72499999999999964</v>
      </c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194"/>
      <c r="AT130" s="194"/>
      <c r="AU130" s="194"/>
      <c r="AV130" s="194"/>
      <c r="AW130" s="194"/>
      <c r="AX130" s="194"/>
      <c r="AY130" s="194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</row>
    <row r="131" spans="1:101" s="195" customFormat="1" x14ac:dyDescent="0.25">
      <c r="A131" s="792" t="s">
        <v>50</v>
      </c>
      <c r="B131" s="865"/>
      <c r="C131" s="866"/>
      <c r="D131" s="494">
        <v>0</v>
      </c>
      <c r="E131" s="494">
        <f>'Client Input'!B49</f>
        <v>36587</v>
      </c>
      <c r="F131" s="494">
        <f>'Client Input'!C49</f>
        <v>448421</v>
      </c>
      <c r="G131" s="494">
        <f>'Client Input'!D49</f>
        <v>185869</v>
      </c>
      <c r="H131" s="494">
        <f>'Client Input'!E49</f>
        <v>185869</v>
      </c>
      <c r="I131" s="494">
        <f>'Client Input'!F49</f>
        <v>185869</v>
      </c>
      <c r="J131" s="494">
        <f>'Client Input'!G49</f>
        <v>185869</v>
      </c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4"/>
      <c r="AL131" s="194"/>
      <c r="AM131" s="194"/>
      <c r="AN131" s="194"/>
      <c r="AO131" s="194"/>
      <c r="AP131" s="194"/>
      <c r="AQ131" s="194"/>
      <c r="AR131" s="194"/>
      <c r="AS131" s="194"/>
      <c r="AT131" s="194"/>
      <c r="AU131" s="194"/>
      <c r="AV131" s="194"/>
      <c r="AW131" s="194"/>
      <c r="AX131" s="194"/>
      <c r="AY131" s="194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</row>
    <row r="132" spans="1:101" s="195" customFormat="1" x14ac:dyDescent="0.25">
      <c r="A132" s="344" t="s">
        <v>426</v>
      </c>
      <c r="B132" s="345"/>
      <c r="C132" s="346">
        <f>AVERAGEIF(E132:J132, "&lt;&gt;0")</f>
        <v>5.3353949318984304</v>
      </c>
      <c r="D132" s="493"/>
      <c r="E132" s="347">
        <f>IFERROR(E131/D131-1,0)</f>
        <v>0</v>
      </c>
      <c r="F132" s="347">
        <f t="shared" ref="F132" si="235">IFERROR(F131/E131-1,0)</f>
        <v>11.256293218902888</v>
      </c>
      <c r="G132" s="347">
        <f t="shared" ref="G132" si="236">IFERROR(G131/F131-1,0)</f>
        <v>-0.58550335510602758</v>
      </c>
      <c r="H132" s="347">
        <f t="shared" ref="H132" si="237">IFERROR(H131/G131-1,0)</f>
        <v>0</v>
      </c>
      <c r="I132" s="347">
        <f t="shared" ref="I132" si="238">IFERROR(I131/H131-1,0)</f>
        <v>0</v>
      </c>
      <c r="J132" s="351">
        <f t="shared" ref="J132" si="239">IFERROR(J131/I131-1,0)</f>
        <v>0</v>
      </c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4"/>
      <c r="AT132" s="194"/>
      <c r="AU132" s="194"/>
      <c r="AV132" s="194"/>
      <c r="AW132" s="194"/>
      <c r="AX132" s="194"/>
      <c r="AY132" s="194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</row>
    <row r="133" spans="1:101" s="195" customFormat="1" x14ac:dyDescent="0.25">
      <c r="A133" s="854" t="s">
        <v>51</v>
      </c>
      <c r="B133" s="855"/>
      <c r="C133" s="856"/>
      <c r="D133" s="494"/>
      <c r="E133" s="494">
        <f>'Client Input'!B50</f>
        <v>0</v>
      </c>
      <c r="F133" s="494">
        <f>'Client Input'!C50</f>
        <v>0</v>
      </c>
      <c r="G133" s="494">
        <f>'Client Input'!D50</f>
        <v>0</v>
      </c>
      <c r="H133" s="494">
        <f>'Client Input'!E50</f>
        <v>0</v>
      </c>
      <c r="I133" s="494">
        <f>'Client Input'!F50</f>
        <v>0</v>
      </c>
      <c r="J133" s="494">
        <f>'Client Input'!G50</f>
        <v>0</v>
      </c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4"/>
      <c r="AT133" s="194"/>
      <c r="AU133" s="194"/>
      <c r="AV133" s="194"/>
      <c r="AW133" s="194"/>
      <c r="AX133" s="194"/>
      <c r="AY133" s="194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</row>
    <row r="134" spans="1:101" s="195" customFormat="1" x14ac:dyDescent="0.25">
      <c r="A134" s="344" t="s">
        <v>426</v>
      </c>
      <c r="B134" s="345"/>
      <c r="C134" s="346" t="e">
        <f>AVERAGEIF(E134:J134, "&lt;&gt;0")</f>
        <v>#DIV/0!</v>
      </c>
      <c r="D134" s="493"/>
      <c r="E134" s="347">
        <f>IFERROR(E133/D133-1,0)</f>
        <v>0</v>
      </c>
      <c r="F134" s="347">
        <f t="shared" ref="F134" si="240">IFERROR(F133/E133-1,0)</f>
        <v>0</v>
      </c>
      <c r="G134" s="347">
        <f t="shared" ref="G134" si="241">IFERROR(G133/F133-1,0)</f>
        <v>0</v>
      </c>
      <c r="H134" s="347">
        <f t="shared" ref="H134" si="242">IFERROR(H133/G133-1,0)</f>
        <v>0</v>
      </c>
      <c r="I134" s="347">
        <f t="shared" ref="I134" si="243">IFERROR(I133/H133-1,0)</f>
        <v>0</v>
      </c>
      <c r="J134" s="351">
        <f t="shared" ref="J134" si="244">IFERROR(J133/I133-1,0)</f>
        <v>0</v>
      </c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</row>
    <row r="135" spans="1:101" s="195" customFormat="1" x14ac:dyDescent="0.25">
      <c r="A135" s="795" t="s">
        <v>52</v>
      </c>
      <c r="B135" s="793"/>
      <c r="C135" s="794"/>
      <c r="D135" s="494">
        <v>0</v>
      </c>
      <c r="E135" s="494">
        <f>'Client Input'!B51</f>
        <v>22645965</v>
      </c>
      <c r="F135" s="494">
        <f>'Client Input'!C51</f>
        <v>29227779</v>
      </c>
      <c r="G135" s="494">
        <f>'Client Input'!D51</f>
        <v>35859241</v>
      </c>
      <c r="H135" s="494">
        <f>'Client Input'!E51</f>
        <v>35859241</v>
      </c>
      <c r="I135" s="494">
        <f>'Client Input'!F51</f>
        <v>35859241</v>
      </c>
      <c r="J135" s="494">
        <f>'Client Input'!G51</f>
        <v>35859241</v>
      </c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4"/>
      <c r="AT135" s="194"/>
      <c r="AU135" s="194"/>
      <c r="AV135" s="194"/>
      <c r="AW135" s="194"/>
      <c r="AX135" s="194"/>
      <c r="AY135" s="194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</row>
    <row r="136" spans="1:101" s="195" customFormat="1" x14ac:dyDescent="0.25">
      <c r="A136" s="344" t="s">
        <v>426</v>
      </c>
      <c r="B136" s="345"/>
      <c r="C136" s="346">
        <f>AVERAGEIF(E136:J136, "&lt;&gt;0")</f>
        <v>0.25876430308694565</v>
      </c>
      <c r="D136" s="493"/>
      <c r="E136" s="347">
        <f>IFERROR(E135/D135-1,0)</f>
        <v>0</v>
      </c>
      <c r="F136" s="347">
        <f t="shared" ref="F136" si="245">IFERROR(F135/E135-1,0)</f>
        <v>0.29063959076153312</v>
      </c>
      <c r="G136" s="347">
        <f t="shared" ref="G136" si="246">IFERROR(G135/F135-1,0)</f>
        <v>0.22688901541235817</v>
      </c>
      <c r="H136" s="347">
        <f t="shared" ref="H136" si="247">IFERROR(H135/G135-1,0)</f>
        <v>0</v>
      </c>
      <c r="I136" s="347">
        <f t="shared" ref="I136" si="248">IFERROR(I135/H135-1,0)</f>
        <v>0</v>
      </c>
      <c r="J136" s="351">
        <f t="shared" ref="J136" si="249">IFERROR(J135/I135-1,0)</f>
        <v>0</v>
      </c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4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</row>
    <row r="137" spans="1:101" x14ac:dyDescent="0.25">
      <c r="A137" s="258"/>
      <c r="B137" s="217"/>
      <c r="C137" s="216"/>
      <c r="D137" s="503"/>
      <c r="E137" s="503"/>
      <c r="F137" s="503"/>
      <c r="G137" s="512"/>
      <c r="H137" s="512"/>
      <c r="I137" s="512"/>
      <c r="J137" s="513"/>
    </row>
    <row r="138" spans="1:101" x14ac:dyDescent="0.25">
      <c r="A138" s="806" t="s">
        <v>53</v>
      </c>
      <c r="B138" s="807"/>
      <c r="C138" s="808"/>
      <c r="D138" s="499">
        <f>SUM(D98+D100+D102)+D110+D126+SUM(D129+D131+D133+D135)</f>
        <v>0</v>
      </c>
      <c r="E138" s="499">
        <f t="shared" ref="E138:J138" si="250">SUM(E98+E100+E102)+E110+E126+SUM(E129+E131+E133+E135)</f>
        <v>851928186</v>
      </c>
      <c r="F138" s="499">
        <f t="shared" si="250"/>
        <v>1523099043</v>
      </c>
      <c r="G138" s="499">
        <f t="shared" si="250"/>
        <v>1793646276</v>
      </c>
      <c r="H138" s="499">
        <f t="shared" si="250"/>
        <v>1843237095.3839726</v>
      </c>
      <c r="I138" s="499">
        <f t="shared" si="250"/>
        <v>1980039908.0341234</v>
      </c>
      <c r="J138" s="499">
        <f t="shared" si="250"/>
        <v>2222165636.0810065</v>
      </c>
    </row>
    <row r="139" spans="1:101" x14ac:dyDescent="0.25">
      <c r="A139" s="344" t="s">
        <v>426</v>
      </c>
      <c r="B139" s="345"/>
      <c r="C139" s="346">
        <f>AVERAGEIF(E139:J139, "&lt;&gt;0")</f>
        <v>0.2379210311952645</v>
      </c>
      <c r="D139" s="493"/>
      <c r="E139" s="347">
        <f>IFERROR(E138/D138-1,0)</f>
        <v>0</v>
      </c>
      <c r="F139" s="347">
        <f t="shared" ref="F139" si="251">IFERROR(F138/E138-1,0)</f>
        <v>0.78782562665440437</v>
      </c>
      <c r="G139" s="347">
        <f t="shared" ref="G139" si="252">IFERROR(G138/F138-1,0)</f>
        <v>0.17762944192198526</v>
      </c>
      <c r="H139" s="347">
        <f t="shared" ref="H139" si="253">IFERROR(H138/G138-1,0)</f>
        <v>2.764804858545733E-2</v>
      </c>
      <c r="I139" s="347">
        <f t="shared" ref="I139" si="254">IFERROR(I138/H138-1,0)</f>
        <v>7.4218782267754246E-2</v>
      </c>
      <c r="J139" s="351">
        <f t="shared" ref="J139" si="255">IFERROR(J138/I138-1,0)</f>
        <v>0.12228325654672134</v>
      </c>
    </row>
    <row r="140" spans="1:101" x14ac:dyDescent="0.25">
      <c r="A140" s="258"/>
      <c r="B140" s="217"/>
      <c r="C140" s="266"/>
      <c r="D140" s="514"/>
      <c r="E140" s="514"/>
      <c r="F140" s="514"/>
      <c r="G140" s="512"/>
      <c r="H140" s="512"/>
      <c r="I140" s="512"/>
      <c r="J140" s="513"/>
    </row>
    <row r="141" spans="1:101" s="195" customFormat="1" x14ac:dyDescent="0.25">
      <c r="A141" s="795" t="s">
        <v>54</v>
      </c>
      <c r="B141" s="793"/>
      <c r="C141" s="794"/>
      <c r="D141" s="494"/>
      <c r="E141" s="494">
        <f>'Client Input'!B52</f>
        <v>115963589</v>
      </c>
      <c r="F141" s="494">
        <f>'Client Input'!C52</f>
        <v>125671331</v>
      </c>
      <c r="G141" s="494">
        <f>'Client Input'!D52</f>
        <v>127531565</v>
      </c>
      <c r="H141" s="494">
        <f>'Client Input'!E52</f>
        <v>133908143.25</v>
      </c>
      <c r="I141" s="494">
        <f>'Client Input'!F52</f>
        <v>140603550.41249999</v>
      </c>
      <c r="J141" s="494">
        <f>'Client Input'!G52</f>
        <v>154383727.93312499</v>
      </c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4"/>
      <c r="AL141" s="194"/>
      <c r="AM141" s="194"/>
      <c r="AN141" s="194"/>
      <c r="AO141" s="194"/>
      <c r="AP141" s="194"/>
      <c r="AQ141" s="194"/>
      <c r="AR141" s="194"/>
      <c r="AS141" s="194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</row>
    <row r="142" spans="1:101" s="195" customFormat="1" x14ac:dyDescent="0.25">
      <c r="A142" s="344" t="s">
        <v>426</v>
      </c>
      <c r="B142" s="345"/>
      <c r="C142" s="346">
        <f>AVERAGEIF(E142:J142, "&lt;&gt;0")</f>
        <v>5.9304680798924994E-2</v>
      </c>
      <c r="D142" s="493"/>
      <c r="E142" s="347">
        <f>IFERROR(E141/D141-1,0)</f>
        <v>0</v>
      </c>
      <c r="F142" s="347">
        <f t="shared" ref="F142" si="256">IFERROR(F141/E141-1,0)</f>
        <v>8.3713707757009814E-2</v>
      </c>
      <c r="G142" s="347">
        <f t="shared" ref="G142" si="257">IFERROR(G141/F141-1,0)</f>
        <v>1.4802373661499724E-2</v>
      </c>
      <c r="H142" s="347">
        <f t="shared" ref="H142" si="258">IFERROR(H141/G141-1,0)</f>
        <v>5.0000000000000044E-2</v>
      </c>
      <c r="I142" s="347">
        <f t="shared" ref="I142" si="259">IFERROR(I141/H141-1,0)</f>
        <v>5.0000000000000044E-2</v>
      </c>
      <c r="J142" s="351">
        <f t="shared" ref="J142" si="260">IFERROR(J141/I141-1,0)</f>
        <v>9.800732257611533E-2</v>
      </c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</row>
    <row r="143" spans="1:101" s="195" customFormat="1" x14ac:dyDescent="0.25">
      <c r="A143" s="854" t="s">
        <v>55</v>
      </c>
      <c r="B143" s="855"/>
      <c r="C143" s="856"/>
      <c r="D143" s="494"/>
      <c r="E143" s="494">
        <f>'Client Input'!B53</f>
        <v>774818017</v>
      </c>
      <c r="F143" s="494">
        <f>'Client Input'!C53</f>
        <v>1065801034</v>
      </c>
      <c r="G143" s="494">
        <f>'Client Input'!D53</f>
        <v>1093777347</v>
      </c>
      <c r="H143" s="494">
        <f>'Client Input'!E53</f>
        <v>1203155081.7</v>
      </c>
      <c r="I143" s="494">
        <f>'Client Input'!F53</f>
        <v>1443786098.04</v>
      </c>
      <c r="J143" s="494">
        <f>'Client Input'!G53</f>
        <v>1800043317.648</v>
      </c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</row>
    <row r="144" spans="1:101" s="195" customFormat="1" x14ac:dyDescent="0.25">
      <c r="A144" s="344" t="s">
        <v>426</v>
      </c>
      <c r="B144" s="345"/>
      <c r="C144" s="346">
        <f>AVERAGEIF(E144:J144, "&lt;&gt;0")</f>
        <v>0.18971026321742385</v>
      </c>
      <c r="D144" s="493"/>
      <c r="E144" s="347">
        <f>IFERROR(E143/D143-1,0)</f>
        <v>0</v>
      </c>
      <c r="F144" s="347">
        <f t="shared" ref="F144" si="261">IFERROR(F143/E143-1,0)</f>
        <v>0.37555014289245681</v>
      </c>
      <c r="G144" s="347">
        <f t="shared" ref="G144" si="262">IFERROR(G143/F143-1,0)</f>
        <v>2.6249095382281373E-2</v>
      </c>
      <c r="H144" s="347">
        <f t="shared" ref="H144" si="263">IFERROR(H143/G143-1,0)</f>
        <v>0.10000000000000009</v>
      </c>
      <c r="I144" s="347">
        <f t="shared" ref="I144" si="264">IFERROR(I143/H143-1,0)</f>
        <v>0.19999999999999996</v>
      </c>
      <c r="J144" s="351">
        <f t="shared" ref="J144" si="265">IFERROR(J143/I143-1,0)</f>
        <v>0.24675207781238107</v>
      </c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</row>
    <row r="145" spans="1:101" s="195" customFormat="1" x14ac:dyDescent="0.25">
      <c r="A145" s="854" t="s">
        <v>56</v>
      </c>
      <c r="B145" s="855"/>
      <c r="C145" s="856"/>
      <c r="D145" s="494"/>
      <c r="E145" s="494">
        <f>'Client Input'!B54</f>
        <v>18082895</v>
      </c>
      <c r="F145" s="494">
        <f>'Client Input'!C54</f>
        <v>23467824</v>
      </c>
      <c r="G145" s="494">
        <f>'Client Input'!D54</f>
        <v>25715544</v>
      </c>
      <c r="H145" s="494">
        <f>'Client Input'!E54</f>
        <v>29572875.599999998</v>
      </c>
      <c r="I145" s="494">
        <f>'Client Input'!F54</f>
        <v>35487450.719999999</v>
      </c>
      <c r="J145" s="494">
        <f>'Client Input'!G54</f>
        <v>45859313.399999999</v>
      </c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</row>
    <row r="146" spans="1:101" s="195" customFormat="1" x14ac:dyDescent="0.25">
      <c r="A146" s="344" t="s">
        <v>426</v>
      </c>
      <c r="B146" s="345"/>
      <c r="C146" s="346">
        <f>AVERAGEIF(E146:J146, "&lt;&gt;0")</f>
        <v>0.2071677145345398</v>
      </c>
      <c r="D146" s="493"/>
      <c r="E146" s="347">
        <f>IFERROR(E145/D145-1,0)</f>
        <v>0</v>
      </c>
      <c r="F146" s="347">
        <f t="shared" ref="F146" si="266">IFERROR(F145/E145-1,0)</f>
        <v>0.29779131051748076</v>
      </c>
      <c r="G146" s="347">
        <f t="shared" ref="G146" si="267">IFERROR(G145/F145-1,0)</f>
        <v>9.5778799091044808E-2</v>
      </c>
      <c r="H146" s="347">
        <f t="shared" ref="H146" si="268">IFERROR(H145/G145-1,0)</f>
        <v>0.14999999999999991</v>
      </c>
      <c r="I146" s="347">
        <f t="shared" ref="I146" si="269">IFERROR(I145/H145-1,0)</f>
        <v>0.19999999999999996</v>
      </c>
      <c r="J146" s="351">
        <f t="shared" ref="J146" si="270">IFERROR(J145/I145-1,0)</f>
        <v>0.29226846306417364</v>
      </c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</row>
    <row r="147" spans="1:101" s="195" customFormat="1" x14ac:dyDescent="0.25">
      <c r="A147" s="795" t="s">
        <v>57</v>
      </c>
      <c r="B147" s="793"/>
      <c r="C147" s="794"/>
      <c r="D147" s="494"/>
      <c r="E147" s="494">
        <f>'Client Input'!B55</f>
        <v>306813256</v>
      </c>
      <c r="F147" s="494">
        <f>'Client Input'!C55</f>
        <v>41509336</v>
      </c>
      <c r="G147" s="494">
        <f>'Client Input'!D55</f>
        <v>59444058</v>
      </c>
      <c r="H147" s="494">
        <f>'Client Input'!E55</f>
        <v>150000000</v>
      </c>
      <c r="I147" s="494">
        <f>'Client Input'!F55</f>
        <v>150000000</v>
      </c>
      <c r="J147" s="494">
        <f>'Client Input'!G55</f>
        <v>75000000</v>
      </c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194"/>
      <c r="AT147" s="194"/>
      <c r="AU147" s="194"/>
      <c r="AV147" s="194"/>
      <c r="AW147" s="194"/>
      <c r="AX147" s="194"/>
      <c r="AY147" s="194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</row>
    <row r="148" spans="1:101" s="195" customFormat="1" x14ac:dyDescent="0.25">
      <c r="A148" s="344" t="s">
        <v>426</v>
      </c>
      <c r="B148" s="345"/>
      <c r="C148" s="346">
        <f>AVERAGEIF(E148:J148, "&lt;&gt;0")</f>
        <v>0.14768438175259191</v>
      </c>
      <c r="D148" s="493"/>
      <c r="E148" s="347">
        <f>IFERROR(E147/D147-1,0)</f>
        <v>0</v>
      </c>
      <c r="F148" s="347">
        <f t="shared" ref="F148" si="271">IFERROR(F147/E147-1,0)</f>
        <v>-0.86470814025062848</v>
      </c>
      <c r="G148" s="347">
        <f t="shared" ref="G148" si="272">IFERROR(G147/F147-1,0)</f>
        <v>0.43206477694560097</v>
      </c>
      <c r="H148" s="347">
        <f t="shared" ref="H148" si="273">IFERROR(H147/G147-1,0)</f>
        <v>1.5233808903153951</v>
      </c>
      <c r="I148" s="347">
        <f t="shared" ref="I148" si="274">IFERROR(I147/H147-1,0)</f>
        <v>0</v>
      </c>
      <c r="J148" s="351">
        <f t="shared" ref="J148" si="275">IFERROR(J147/I147-1,0)</f>
        <v>-0.5</v>
      </c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4"/>
      <c r="AX148" s="194"/>
      <c r="AY148" s="194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</row>
    <row r="149" spans="1:101" s="195" customFormat="1" x14ac:dyDescent="0.25">
      <c r="A149" s="862" t="s">
        <v>58</v>
      </c>
      <c r="B149" s="863"/>
      <c r="C149" s="864"/>
      <c r="D149" s="526">
        <f>SUM(D141+D143+D145+D147)</f>
        <v>0</v>
      </c>
      <c r="E149" s="526">
        <f t="shared" ref="E149:J149" si="276">SUM(E141+E143+E145+E147)</f>
        <v>1215677757</v>
      </c>
      <c r="F149" s="526">
        <f t="shared" si="276"/>
        <v>1256449525</v>
      </c>
      <c r="G149" s="526">
        <f t="shared" si="276"/>
        <v>1306468514</v>
      </c>
      <c r="H149" s="526">
        <f t="shared" si="276"/>
        <v>1516636100.55</v>
      </c>
      <c r="I149" s="526">
        <f t="shared" si="276"/>
        <v>1769877099.1724999</v>
      </c>
      <c r="J149" s="526">
        <f t="shared" si="276"/>
        <v>2075286358.9811251</v>
      </c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  <c r="AX149" s="194"/>
      <c r="AY149" s="194"/>
      <c r="AZ149" s="194"/>
      <c r="BA149" s="194"/>
      <c r="BB149" s="194"/>
      <c r="BC149" s="194"/>
      <c r="BD149" s="194"/>
      <c r="BE149" s="194"/>
      <c r="BF149" s="194"/>
      <c r="BG149" s="194"/>
      <c r="BH149" s="194"/>
      <c r="BI149" s="194"/>
      <c r="BJ149" s="194"/>
      <c r="BK149" s="194"/>
      <c r="BL149" s="194"/>
      <c r="BM149" s="194"/>
      <c r="BN149" s="194"/>
      <c r="BO149" s="194"/>
      <c r="BP149" s="194"/>
      <c r="BQ149" s="194"/>
      <c r="BR149" s="194"/>
      <c r="BS149" s="194"/>
      <c r="BT149" s="194"/>
      <c r="BU149" s="194"/>
      <c r="BV149" s="194"/>
      <c r="BW149" s="194"/>
      <c r="BX149" s="194"/>
      <c r="BY149" s="194"/>
      <c r="BZ149" s="194"/>
      <c r="CA149" s="194"/>
      <c r="CB149" s="194"/>
      <c r="CC149" s="194"/>
      <c r="CD149" s="194"/>
      <c r="CE149" s="194"/>
      <c r="CF149" s="194"/>
      <c r="CG149" s="194"/>
      <c r="CH149" s="194"/>
      <c r="CI149" s="194"/>
      <c r="CJ149" s="194"/>
      <c r="CK149" s="194"/>
      <c r="CL149" s="194"/>
      <c r="CM149" s="194"/>
      <c r="CN149" s="194"/>
      <c r="CO149" s="194"/>
      <c r="CP149" s="194"/>
      <c r="CQ149" s="194"/>
      <c r="CR149" s="194"/>
      <c r="CS149" s="194"/>
      <c r="CT149" s="194"/>
      <c r="CU149" s="194"/>
      <c r="CV149" s="194"/>
      <c r="CW149" s="194"/>
    </row>
    <row r="150" spans="1:101" s="195" customFormat="1" x14ac:dyDescent="0.25">
      <c r="A150" s="344" t="s">
        <v>426</v>
      </c>
      <c r="B150" s="345"/>
      <c r="C150" s="346">
        <f>AVERAGEIF(E150:J150, "&lt;&gt;0")</f>
        <v>0.11475001282589603</v>
      </c>
      <c r="D150" s="493"/>
      <c r="E150" s="347">
        <f>IFERROR(E149/D149-1,0)</f>
        <v>0</v>
      </c>
      <c r="F150" s="347">
        <f t="shared" ref="F150" si="277">IFERROR(F149/E149-1,0)</f>
        <v>3.3538302206511439E-2</v>
      </c>
      <c r="G150" s="347">
        <f t="shared" ref="G150" si="278">IFERROR(G149/F149-1,0)</f>
        <v>3.9809787822554954E-2</v>
      </c>
      <c r="H150" s="347">
        <f t="shared" ref="H150" si="279">IFERROR(H149/G149-1,0)</f>
        <v>0.16086693578747813</v>
      </c>
      <c r="I150" s="347">
        <f t="shared" ref="I150" si="280">IFERROR(I149/H149-1,0)</f>
        <v>0.1669754521408684</v>
      </c>
      <c r="J150" s="351">
        <f t="shared" ref="J150" si="281">IFERROR(J149/I149-1,0)</f>
        <v>0.17255958617206724</v>
      </c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4"/>
      <c r="AX150" s="194"/>
      <c r="AY150" s="194"/>
      <c r="AZ150" s="194"/>
      <c r="BA150" s="194"/>
      <c r="BB150" s="194"/>
      <c r="BC150" s="194"/>
      <c r="BD150" s="194"/>
      <c r="BE150" s="194"/>
      <c r="BF150" s="194"/>
      <c r="BG150" s="194"/>
      <c r="BH150" s="194"/>
      <c r="BI150" s="194"/>
      <c r="BJ150" s="194"/>
      <c r="BK150" s="194"/>
      <c r="BL150" s="194"/>
      <c r="BM150" s="194"/>
      <c r="BN150" s="194"/>
      <c r="BO150" s="194"/>
      <c r="BP150" s="194"/>
      <c r="BQ150" s="194"/>
      <c r="BR150" s="194"/>
      <c r="BS150" s="194"/>
      <c r="BT150" s="194"/>
      <c r="BU150" s="194"/>
      <c r="BV150" s="194"/>
      <c r="BW150" s="194"/>
      <c r="BX150" s="194"/>
      <c r="BY150" s="194"/>
      <c r="BZ150" s="194"/>
      <c r="CA150" s="194"/>
      <c r="CB150" s="194"/>
      <c r="CC150" s="194"/>
      <c r="CD150" s="194"/>
      <c r="CE150" s="194"/>
      <c r="CF150" s="194"/>
      <c r="CG150" s="194"/>
      <c r="CH150" s="194"/>
      <c r="CI150" s="194"/>
      <c r="CJ150" s="194"/>
      <c r="CK150" s="194"/>
      <c r="CL150" s="194"/>
      <c r="CM150" s="194"/>
      <c r="CN150" s="194"/>
      <c r="CO150" s="194"/>
      <c r="CP150" s="194"/>
      <c r="CQ150" s="194"/>
      <c r="CR150" s="194"/>
      <c r="CS150" s="194"/>
      <c r="CT150" s="194"/>
      <c r="CU150" s="194"/>
      <c r="CV150" s="194"/>
      <c r="CW150" s="194"/>
    </row>
    <row r="151" spans="1:101" s="195" customFormat="1" x14ac:dyDescent="0.25">
      <c r="A151" s="854" t="s">
        <v>59</v>
      </c>
      <c r="B151" s="855"/>
      <c r="C151" s="856"/>
      <c r="D151" s="494"/>
      <c r="E151" s="494">
        <f>'Client Input'!B56</f>
        <v>-632196524</v>
      </c>
      <c r="F151" s="494">
        <f>'Client Input'!C56</f>
        <v>-670157390</v>
      </c>
      <c r="G151" s="494">
        <f>'Client Input'!D56</f>
        <v>-731398432</v>
      </c>
      <c r="H151" s="494">
        <f>'Client Input'!E56</f>
        <v>-810821220</v>
      </c>
      <c r="I151" s="494">
        <f>'Client Input'!F56</f>
        <v>-901923843.04999995</v>
      </c>
      <c r="J151" s="494">
        <f>'Client Input'!G56</f>
        <v>-1006434918.0925</v>
      </c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4"/>
      <c r="AT151" s="194"/>
      <c r="AU151" s="194"/>
      <c r="AV151" s="194"/>
      <c r="AW151" s="194"/>
      <c r="AX151" s="194"/>
      <c r="AY151" s="194"/>
      <c r="AZ151" s="194"/>
      <c r="BA151" s="194"/>
      <c r="BB151" s="194"/>
      <c r="BC151" s="194"/>
      <c r="BD151" s="194"/>
      <c r="BE151" s="194"/>
      <c r="BF151" s="194"/>
      <c r="BG151" s="194"/>
      <c r="BH151" s="194"/>
      <c r="BI151" s="194"/>
      <c r="BJ151" s="194"/>
      <c r="BK151" s="194"/>
      <c r="BL151" s="194"/>
      <c r="BM151" s="194"/>
      <c r="BN151" s="194"/>
      <c r="BO151" s="194"/>
      <c r="BP151" s="194"/>
      <c r="BQ151" s="194"/>
      <c r="BR151" s="194"/>
      <c r="BS151" s="194"/>
      <c r="BT151" s="194"/>
      <c r="BU151" s="194"/>
      <c r="BV151" s="194"/>
      <c r="BW151" s="194"/>
      <c r="BX151" s="194"/>
      <c r="BY151" s="194"/>
      <c r="BZ151" s="194"/>
      <c r="CA151" s="194"/>
      <c r="CB151" s="194"/>
      <c r="CC151" s="194"/>
      <c r="CD151" s="194"/>
      <c r="CE151" s="194"/>
      <c r="CF151" s="194"/>
      <c r="CG151" s="194"/>
      <c r="CH151" s="194"/>
      <c r="CI151" s="194"/>
      <c r="CJ151" s="194"/>
      <c r="CK151" s="194"/>
      <c r="CL151" s="194"/>
      <c r="CM151" s="194"/>
      <c r="CN151" s="194"/>
      <c r="CO151" s="194"/>
      <c r="CP151" s="194"/>
      <c r="CQ151" s="194"/>
      <c r="CR151" s="194"/>
      <c r="CS151" s="194"/>
      <c r="CT151" s="194"/>
      <c r="CU151" s="194"/>
      <c r="CV151" s="194"/>
      <c r="CW151" s="194"/>
    </row>
    <row r="152" spans="1:101" s="195" customFormat="1" x14ac:dyDescent="0.25">
      <c r="A152" s="344" t="s">
        <v>426</v>
      </c>
      <c r="B152" s="345"/>
      <c r="C152" s="346">
        <f>AVERAGEIF(E152:J152, "&lt;&gt;0")</f>
        <v>9.7650712092652497E-2</v>
      </c>
      <c r="D152" s="493"/>
      <c r="E152" s="347">
        <f>IFERROR(E151/D151-1,0)</f>
        <v>0</v>
      </c>
      <c r="F152" s="347">
        <f t="shared" ref="F152" si="282">IFERROR(F151/E151-1,0)</f>
        <v>6.0045989749858197E-2</v>
      </c>
      <c r="G152" s="347">
        <f t="shared" ref="G152" si="283">IFERROR(G151/F151-1,0)</f>
        <v>9.1383073459803121E-2</v>
      </c>
      <c r="H152" s="347">
        <f t="shared" ref="H152" si="284">IFERROR(H151/G151-1,0)</f>
        <v>0.10859031756852322</v>
      </c>
      <c r="I152" s="347">
        <f t="shared" ref="I152" si="285">IFERROR(I151/H151-1,0)</f>
        <v>0.11235845930376609</v>
      </c>
      <c r="J152" s="351">
        <f t="shared" ref="J152" si="286">IFERROR(J151/I151-1,0)</f>
        <v>0.11587572038131189</v>
      </c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4"/>
      <c r="AT152" s="194"/>
      <c r="AU152" s="194"/>
      <c r="AV152" s="194"/>
      <c r="AW152" s="194"/>
      <c r="AX152" s="194"/>
      <c r="AY152" s="194"/>
      <c r="AZ152" s="194"/>
      <c r="BA152" s="194"/>
      <c r="BB152" s="194"/>
      <c r="BC152" s="194"/>
      <c r="BD152" s="194"/>
      <c r="BE152" s="194"/>
      <c r="BF152" s="194"/>
      <c r="BG152" s="194"/>
      <c r="BH152" s="194"/>
      <c r="BI152" s="194"/>
      <c r="BJ152" s="194"/>
      <c r="BK152" s="194"/>
      <c r="BL152" s="194"/>
      <c r="BM152" s="194"/>
      <c r="BN152" s="194"/>
      <c r="BO152" s="194"/>
      <c r="BP152" s="194"/>
      <c r="BQ152" s="194"/>
      <c r="BR152" s="194"/>
      <c r="BS152" s="194"/>
      <c r="BT152" s="194"/>
      <c r="BU152" s="194"/>
      <c r="BV152" s="194"/>
      <c r="BW152" s="194"/>
      <c r="BX152" s="194"/>
      <c r="BY152" s="194"/>
      <c r="BZ152" s="194"/>
      <c r="CA152" s="194"/>
      <c r="CB152" s="194"/>
      <c r="CC152" s="194"/>
      <c r="CD152" s="194"/>
      <c r="CE152" s="194"/>
      <c r="CF152" s="194"/>
      <c r="CG152" s="194"/>
      <c r="CH152" s="194"/>
      <c r="CI152" s="194"/>
      <c r="CJ152" s="194"/>
      <c r="CK152" s="194"/>
      <c r="CL152" s="194"/>
      <c r="CM152" s="194"/>
      <c r="CN152" s="194"/>
      <c r="CO152" s="194"/>
      <c r="CP152" s="194"/>
      <c r="CQ152" s="194"/>
      <c r="CR152" s="194"/>
      <c r="CS152" s="194"/>
      <c r="CT152" s="194"/>
      <c r="CU152" s="194"/>
      <c r="CV152" s="194"/>
      <c r="CW152" s="194"/>
    </row>
    <row r="153" spans="1:101" x14ac:dyDescent="0.25">
      <c r="A153" s="258"/>
      <c r="B153" s="217"/>
      <c r="C153" s="216"/>
      <c r="D153" s="503"/>
      <c r="E153" s="503"/>
      <c r="F153" s="503"/>
      <c r="G153" s="512"/>
      <c r="H153" s="512"/>
      <c r="I153" s="527"/>
      <c r="J153" s="513"/>
    </row>
    <row r="154" spans="1:101" x14ac:dyDescent="0.25">
      <c r="A154" s="221" t="s">
        <v>60</v>
      </c>
      <c r="B154" s="222"/>
      <c r="C154" s="223"/>
      <c r="D154" s="499">
        <f>D149+D151</f>
        <v>0</v>
      </c>
      <c r="E154" s="499">
        <f t="shared" ref="E154:J154" si="287">E149+E151</f>
        <v>583481233</v>
      </c>
      <c r="F154" s="499">
        <f t="shared" si="287"/>
        <v>586292135</v>
      </c>
      <c r="G154" s="499">
        <f t="shared" si="287"/>
        <v>575070082</v>
      </c>
      <c r="H154" s="499">
        <f t="shared" si="287"/>
        <v>705814880.54999995</v>
      </c>
      <c r="I154" s="499">
        <f t="shared" si="287"/>
        <v>867953256.12249994</v>
      </c>
      <c r="J154" s="499">
        <f t="shared" si="287"/>
        <v>1068851440.8886251</v>
      </c>
    </row>
    <row r="155" spans="1:101" x14ac:dyDescent="0.25">
      <c r="A155" s="344" t="s">
        <v>426</v>
      </c>
      <c r="B155" s="345"/>
      <c r="C155" s="346">
        <f>AVERAGEIF(E155:J155, "&lt;&gt;0")</f>
        <v>0.13484225459312921</v>
      </c>
      <c r="D155" s="493"/>
      <c r="E155" s="347">
        <f>IFERROR(E154/D154-1,0)</f>
        <v>0</v>
      </c>
      <c r="F155" s="347">
        <f t="shared" ref="F155" si="288">IFERROR(F154/E154-1,0)</f>
        <v>4.8174677110823794E-3</v>
      </c>
      <c r="G155" s="347">
        <f t="shared" ref="G155" si="289">IFERROR(G154/F154-1,0)</f>
        <v>-1.9140718986448646E-2</v>
      </c>
      <c r="H155" s="347">
        <f t="shared" ref="H155" si="290">IFERROR(H154/G154-1,0)</f>
        <v>0.22735454798011889</v>
      </c>
      <c r="I155" s="347">
        <f t="shared" ref="I155" si="291">IFERROR(I154/H154-1,0)</f>
        <v>0.22971798985897696</v>
      </c>
      <c r="J155" s="351">
        <f t="shared" ref="J155" si="292">IFERROR(J154/I154-1,0)</f>
        <v>0.23146198640191651</v>
      </c>
    </row>
    <row r="156" spans="1:101" x14ac:dyDescent="0.25">
      <c r="A156" s="257"/>
      <c r="B156" s="217"/>
      <c r="C156" s="216"/>
      <c r="D156" s="514"/>
      <c r="E156" s="514"/>
      <c r="F156" s="514"/>
      <c r="G156" s="512"/>
      <c r="H156" s="512"/>
      <c r="I156" s="512"/>
      <c r="J156" s="513"/>
    </row>
    <row r="157" spans="1:101" s="195" customFormat="1" x14ac:dyDescent="0.25">
      <c r="A157" s="795" t="s">
        <v>61</v>
      </c>
      <c r="B157" s="793"/>
      <c r="C157" s="794"/>
      <c r="D157" s="494">
        <v>0</v>
      </c>
      <c r="E157" s="494">
        <f>'Client Input'!B57</f>
        <v>49900</v>
      </c>
      <c r="F157" s="494">
        <f>'Client Input'!C57</f>
        <v>49900</v>
      </c>
      <c r="G157" s="494">
        <f>'Client Input'!D57</f>
        <v>49900</v>
      </c>
      <c r="H157" s="494">
        <f>'Client Input'!E57</f>
        <v>49900</v>
      </c>
      <c r="I157" s="494">
        <f>'Client Input'!F57</f>
        <v>49900</v>
      </c>
      <c r="J157" s="494">
        <f>'Client Input'!G57</f>
        <v>49900</v>
      </c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4"/>
      <c r="AT157" s="194"/>
      <c r="AU157" s="194"/>
      <c r="AV157" s="194"/>
      <c r="AW157" s="194"/>
      <c r="AX157" s="194"/>
      <c r="AY157" s="194"/>
      <c r="AZ157" s="194"/>
      <c r="BA157" s="194"/>
      <c r="BB157" s="194"/>
      <c r="BC157" s="194"/>
      <c r="BD157" s="194"/>
      <c r="BE157" s="194"/>
      <c r="BF157" s="194"/>
      <c r="BG157" s="194"/>
      <c r="BH157" s="194"/>
      <c r="BI157" s="194"/>
      <c r="BJ157" s="194"/>
      <c r="BK157" s="194"/>
      <c r="BL157" s="194"/>
      <c r="BM157" s="194"/>
      <c r="BN157" s="194"/>
      <c r="BO157" s="194"/>
      <c r="BP157" s="194"/>
      <c r="BQ157" s="194"/>
      <c r="BR157" s="194"/>
      <c r="BS157" s="194"/>
      <c r="BT157" s="194"/>
      <c r="BU157" s="194"/>
      <c r="BV157" s="194"/>
      <c r="BW157" s="194"/>
      <c r="BX157" s="194"/>
      <c r="BY157" s="194"/>
      <c r="BZ157" s="194"/>
      <c r="CA157" s="194"/>
      <c r="CB157" s="194"/>
      <c r="CC157" s="194"/>
      <c r="CD157" s="194"/>
      <c r="CE157" s="194"/>
      <c r="CF157" s="194"/>
      <c r="CG157" s="194"/>
      <c r="CH157" s="194"/>
      <c r="CI157" s="194"/>
      <c r="CJ157" s="194"/>
      <c r="CK157" s="194"/>
      <c r="CL157" s="194"/>
      <c r="CM157" s="194"/>
      <c r="CN157" s="194"/>
      <c r="CO157" s="194"/>
      <c r="CP157" s="194"/>
      <c r="CQ157" s="194"/>
      <c r="CR157" s="194"/>
      <c r="CS157" s="194"/>
      <c r="CT157" s="194"/>
      <c r="CU157" s="194"/>
      <c r="CV157" s="194"/>
      <c r="CW157" s="194"/>
    </row>
    <row r="158" spans="1:101" s="195" customFormat="1" x14ac:dyDescent="0.25">
      <c r="A158" s="344" t="s">
        <v>426</v>
      </c>
      <c r="B158" s="345"/>
      <c r="C158" s="346" t="e">
        <f>AVERAGEIF(E158:J158, "&lt;&gt;0")</f>
        <v>#DIV/0!</v>
      </c>
      <c r="D158" s="493"/>
      <c r="E158" s="347">
        <f>IFERROR(E157/D157-1,0)</f>
        <v>0</v>
      </c>
      <c r="F158" s="347">
        <f t="shared" ref="F158" si="293">IFERROR(F157/E157-1,0)</f>
        <v>0</v>
      </c>
      <c r="G158" s="347">
        <f t="shared" ref="G158" si="294">IFERROR(G157/F157-1,0)</f>
        <v>0</v>
      </c>
      <c r="H158" s="347">
        <f t="shared" ref="H158" si="295">IFERROR(H157/G157-1,0)</f>
        <v>0</v>
      </c>
      <c r="I158" s="347">
        <f t="shared" ref="I158" si="296">IFERROR(I157/H157-1,0)</f>
        <v>0</v>
      </c>
      <c r="J158" s="351">
        <f t="shared" ref="J158" si="297">IFERROR(J157/I157-1,0)</f>
        <v>0</v>
      </c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194"/>
      <c r="AT158" s="194"/>
      <c r="AU158" s="194"/>
      <c r="AV158" s="194"/>
      <c r="AW158" s="194"/>
      <c r="AX158" s="194"/>
      <c r="AY158" s="194"/>
      <c r="AZ158" s="194"/>
      <c r="BA158" s="194"/>
      <c r="BB158" s="194"/>
      <c r="BC158" s="194"/>
      <c r="BD158" s="194"/>
      <c r="BE158" s="194"/>
      <c r="BF158" s="194"/>
      <c r="BG158" s="194"/>
      <c r="BH158" s="194"/>
      <c r="BI158" s="194"/>
      <c r="BJ158" s="194"/>
      <c r="BK158" s="194"/>
      <c r="BL158" s="194"/>
      <c r="BM158" s="194"/>
      <c r="BN158" s="194"/>
      <c r="BO158" s="194"/>
      <c r="BP158" s="194"/>
      <c r="BQ158" s="194"/>
      <c r="BR158" s="194"/>
      <c r="BS158" s="194"/>
      <c r="BT158" s="194"/>
      <c r="BU158" s="194"/>
      <c r="BV158" s="194"/>
      <c r="BW158" s="194"/>
      <c r="BX158" s="194"/>
      <c r="BY158" s="194"/>
      <c r="BZ158" s="194"/>
      <c r="CA158" s="194"/>
      <c r="CB158" s="194"/>
      <c r="CC158" s="194"/>
      <c r="CD158" s="194"/>
      <c r="CE158" s="194"/>
      <c r="CF158" s="194"/>
      <c r="CG158" s="194"/>
      <c r="CH158" s="194"/>
      <c r="CI158" s="194"/>
      <c r="CJ158" s="194"/>
      <c r="CK158" s="194"/>
      <c r="CL158" s="194"/>
      <c r="CM158" s="194"/>
      <c r="CN158" s="194"/>
      <c r="CO158" s="194"/>
      <c r="CP158" s="194"/>
      <c r="CQ158" s="194"/>
      <c r="CR158" s="194"/>
      <c r="CS158" s="194"/>
      <c r="CT158" s="194"/>
      <c r="CU158" s="194"/>
      <c r="CV158" s="194"/>
      <c r="CW158" s="194"/>
    </row>
    <row r="159" spans="1:101" s="195" customFormat="1" x14ac:dyDescent="0.25">
      <c r="A159" s="218" t="s">
        <v>62</v>
      </c>
      <c r="B159" s="219"/>
      <c r="C159" s="220"/>
      <c r="D159" s="494">
        <v>0</v>
      </c>
      <c r="E159" s="494">
        <f>'Client Input'!B58</f>
        <v>0</v>
      </c>
      <c r="F159" s="494">
        <f>'Client Input'!C58</f>
        <v>0</v>
      </c>
      <c r="G159" s="494">
        <f>'Client Input'!D58</f>
        <v>0</v>
      </c>
      <c r="H159" s="494">
        <f>'Client Input'!E58</f>
        <v>0</v>
      </c>
      <c r="I159" s="494">
        <f>'Client Input'!F58</f>
        <v>0</v>
      </c>
      <c r="J159" s="494">
        <f>'Client Input'!G58</f>
        <v>0</v>
      </c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194"/>
      <c r="AT159" s="194"/>
      <c r="AU159" s="194"/>
      <c r="AV159" s="194"/>
      <c r="AW159" s="194"/>
      <c r="AX159" s="194"/>
      <c r="AY159" s="194"/>
      <c r="AZ159" s="194"/>
      <c r="BA159" s="194"/>
      <c r="BB159" s="194"/>
      <c r="BC159" s="194"/>
      <c r="BD159" s="194"/>
      <c r="BE159" s="194"/>
      <c r="BF159" s="194"/>
      <c r="BG159" s="194"/>
      <c r="BH159" s="194"/>
      <c r="BI159" s="194"/>
      <c r="BJ159" s="194"/>
      <c r="BK159" s="194"/>
      <c r="BL159" s="194"/>
      <c r="BM159" s="194"/>
      <c r="BN159" s="194"/>
      <c r="BO159" s="194"/>
      <c r="BP159" s="194"/>
      <c r="BQ159" s="194"/>
      <c r="BR159" s="194"/>
      <c r="BS159" s="194"/>
      <c r="BT159" s="194"/>
      <c r="BU159" s="194"/>
      <c r="BV159" s="194"/>
      <c r="BW159" s="194"/>
      <c r="BX159" s="194"/>
      <c r="BY159" s="194"/>
      <c r="BZ159" s="194"/>
      <c r="CA159" s="194"/>
      <c r="CB159" s="194"/>
      <c r="CC159" s="194"/>
      <c r="CD159" s="194"/>
      <c r="CE159" s="194"/>
      <c r="CF159" s="194"/>
      <c r="CG159" s="194"/>
      <c r="CH159" s="194"/>
      <c r="CI159" s="194"/>
      <c r="CJ159" s="194"/>
      <c r="CK159" s="194"/>
      <c r="CL159" s="194"/>
      <c r="CM159" s="194"/>
      <c r="CN159" s="194"/>
      <c r="CO159" s="194"/>
      <c r="CP159" s="194"/>
      <c r="CQ159" s="194"/>
      <c r="CR159" s="194"/>
      <c r="CS159" s="194"/>
      <c r="CT159" s="194"/>
      <c r="CU159" s="194"/>
      <c r="CV159" s="194"/>
      <c r="CW159" s="194"/>
    </row>
    <row r="160" spans="1:101" s="195" customFormat="1" x14ac:dyDescent="0.25">
      <c r="A160" s="344" t="s">
        <v>426</v>
      </c>
      <c r="B160" s="345"/>
      <c r="C160" s="346" t="e">
        <f>AVERAGEIF(E160:J160, "&lt;&gt;0")</f>
        <v>#DIV/0!</v>
      </c>
      <c r="D160" s="493"/>
      <c r="E160" s="347">
        <f>IFERROR(E159/D159-1,0)</f>
        <v>0</v>
      </c>
      <c r="F160" s="347">
        <f t="shared" ref="F160" si="298">IFERROR(F159/E159-1,0)</f>
        <v>0</v>
      </c>
      <c r="G160" s="347">
        <f t="shared" ref="G160" si="299">IFERROR(G159/F159-1,0)</f>
        <v>0</v>
      </c>
      <c r="H160" s="347">
        <f t="shared" ref="H160" si="300">IFERROR(H159/G159-1,0)</f>
        <v>0</v>
      </c>
      <c r="I160" s="347">
        <f t="shared" ref="I160" si="301">IFERROR(I159/H159-1,0)</f>
        <v>0</v>
      </c>
      <c r="J160" s="351">
        <f t="shared" ref="J160" si="302">IFERROR(J159/I159-1,0)</f>
        <v>0</v>
      </c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194"/>
      <c r="AT160" s="194"/>
      <c r="AU160" s="194"/>
      <c r="AV160" s="194"/>
      <c r="AW160" s="194"/>
      <c r="AX160" s="194"/>
      <c r="AY160" s="194"/>
      <c r="AZ160" s="194"/>
      <c r="BA160" s="194"/>
      <c r="BB160" s="194"/>
      <c r="BC160" s="194"/>
      <c r="BD160" s="194"/>
      <c r="BE160" s="194"/>
      <c r="BF160" s="194"/>
      <c r="BG160" s="194"/>
      <c r="BH160" s="194"/>
      <c r="BI160" s="194"/>
      <c r="BJ160" s="194"/>
      <c r="BK160" s="194"/>
      <c r="BL160" s="194"/>
      <c r="BM160" s="194"/>
      <c r="BN160" s="194"/>
      <c r="BO160" s="194"/>
      <c r="BP160" s="194"/>
      <c r="BQ160" s="194"/>
      <c r="BR160" s="194"/>
      <c r="BS160" s="194"/>
      <c r="BT160" s="194"/>
      <c r="BU160" s="194"/>
      <c r="BV160" s="194"/>
      <c r="BW160" s="194"/>
      <c r="BX160" s="194"/>
      <c r="BY160" s="194"/>
      <c r="BZ160" s="194"/>
      <c r="CA160" s="194"/>
      <c r="CB160" s="194"/>
      <c r="CC160" s="194"/>
      <c r="CD160" s="194"/>
      <c r="CE160" s="194"/>
      <c r="CF160" s="194"/>
      <c r="CG160" s="194"/>
      <c r="CH160" s="194"/>
      <c r="CI160" s="194"/>
      <c r="CJ160" s="194"/>
      <c r="CK160" s="194"/>
      <c r="CL160" s="194"/>
      <c r="CM160" s="194"/>
      <c r="CN160" s="194"/>
      <c r="CO160" s="194"/>
      <c r="CP160" s="194"/>
      <c r="CQ160" s="194"/>
      <c r="CR160" s="194"/>
      <c r="CS160" s="194"/>
      <c r="CT160" s="194"/>
      <c r="CU160" s="194"/>
      <c r="CV160" s="194"/>
      <c r="CW160" s="194"/>
    </row>
    <row r="161" spans="1:101" s="195" customFormat="1" x14ac:dyDescent="0.25">
      <c r="A161" s="792" t="s">
        <v>1782</v>
      </c>
      <c r="B161" s="793"/>
      <c r="C161" s="794"/>
      <c r="D161" s="494"/>
      <c r="E161" s="494">
        <f>'Client Input'!B59</f>
        <v>9368874</v>
      </c>
      <c r="F161" s="494">
        <f>'Client Input'!C59</f>
        <v>2108245</v>
      </c>
      <c r="G161" s="494">
        <f>'Client Input'!D59</f>
        <v>32355577</v>
      </c>
      <c r="H161" s="494">
        <f>'Client Input'!E59</f>
        <v>32355577</v>
      </c>
      <c r="I161" s="494">
        <f>'Client Input'!F59</f>
        <v>32355577</v>
      </c>
      <c r="J161" s="494">
        <f>'Client Input'!G59</f>
        <v>32355577</v>
      </c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194"/>
      <c r="AT161" s="194"/>
      <c r="AU161" s="194"/>
      <c r="AV161" s="194"/>
      <c r="AW161" s="194"/>
      <c r="AX161" s="194"/>
      <c r="AY161" s="194"/>
      <c r="AZ161" s="194"/>
      <c r="BA161" s="194"/>
      <c r="BB161" s="194"/>
      <c r="BC161" s="194"/>
      <c r="BD161" s="194"/>
      <c r="BE161" s="194"/>
      <c r="BF161" s="194"/>
      <c r="BG161" s="194"/>
      <c r="BH161" s="194"/>
      <c r="BI161" s="194"/>
      <c r="BJ161" s="194"/>
      <c r="BK161" s="194"/>
      <c r="BL161" s="194"/>
      <c r="BM161" s="194"/>
      <c r="BN161" s="194"/>
      <c r="BO161" s="194"/>
      <c r="BP161" s="194"/>
      <c r="BQ161" s="194"/>
      <c r="BR161" s="194"/>
      <c r="BS161" s="194"/>
      <c r="BT161" s="194"/>
      <c r="BU161" s="194"/>
      <c r="BV161" s="194"/>
      <c r="BW161" s="194"/>
      <c r="BX161" s="194"/>
      <c r="BY161" s="194"/>
      <c r="BZ161" s="194"/>
      <c r="CA161" s="194"/>
      <c r="CB161" s="194"/>
      <c r="CC161" s="194"/>
      <c r="CD161" s="194"/>
      <c r="CE161" s="194"/>
      <c r="CF161" s="194"/>
      <c r="CG161" s="194"/>
      <c r="CH161" s="194"/>
      <c r="CI161" s="194"/>
      <c r="CJ161" s="194"/>
      <c r="CK161" s="194"/>
      <c r="CL161" s="194"/>
      <c r="CM161" s="194"/>
      <c r="CN161" s="194"/>
      <c r="CO161" s="194"/>
      <c r="CP161" s="194"/>
      <c r="CQ161" s="194"/>
      <c r="CR161" s="194"/>
      <c r="CS161" s="194"/>
      <c r="CT161" s="194"/>
      <c r="CU161" s="194"/>
      <c r="CV161" s="194"/>
      <c r="CW161" s="194"/>
    </row>
    <row r="162" spans="1:101" s="195" customFormat="1" x14ac:dyDescent="0.25">
      <c r="A162" s="344" t="s">
        <v>426</v>
      </c>
      <c r="B162" s="345"/>
      <c r="C162" s="346">
        <f>AVERAGEIF(E162:J162, "&lt;&gt;0")</f>
        <v>6.7860941233901322</v>
      </c>
      <c r="D162" s="493"/>
      <c r="E162" s="347">
        <f>IFERROR(E161/D161-1,0)</f>
        <v>0</v>
      </c>
      <c r="F162" s="347">
        <f t="shared" ref="F162" si="303">IFERROR(F161/E161-1,0)</f>
        <v>-0.77497349201195365</v>
      </c>
      <c r="G162" s="347">
        <f t="shared" ref="G162" si="304">IFERROR(G161/F161-1,0)</f>
        <v>14.347161738792218</v>
      </c>
      <c r="H162" s="347">
        <f t="shared" ref="H162" si="305">IFERROR(H161/G161-1,0)</f>
        <v>0</v>
      </c>
      <c r="I162" s="347">
        <f t="shared" ref="I162" si="306">IFERROR(I161/H161-1,0)</f>
        <v>0</v>
      </c>
      <c r="J162" s="351">
        <f t="shared" ref="J162" si="307">IFERROR(J161/I161-1,0)</f>
        <v>0</v>
      </c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4"/>
      <c r="AL162" s="194"/>
      <c r="AM162" s="194"/>
      <c r="AN162" s="194"/>
      <c r="AO162" s="194"/>
      <c r="AP162" s="194"/>
      <c r="AQ162" s="194"/>
      <c r="AR162" s="194"/>
      <c r="AS162" s="194"/>
      <c r="AT162" s="194"/>
      <c r="AU162" s="194"/>
      <c r="AV162" s="194"/>
      <c r="AW162" s="194"/>
      <c r="AX162" s="194"/>
      <c r="AY162" s="194"/>
      <c r="AZ162" s="194"/>
      <c r="BA162" s="194"/>
      <c r="BB162" s="194"/>
      <c r="BC162" s="194"/>
      <c r="BD162" s="194"/>
      <c r="BE162" s="194"/>
      <c r="BF162" s="194"/>
      <c r="BG162" s="194"/>
      <c r="BH162" s="194"/>
      <c r="BI162" s="194"/>
      <c r="BJ162" s="194"/>
      <c r="BK162" s="194"/>
      <c r="BL162" s="194"/>
      <c r="BM162" s="194"/>
      <c r="BN162" s="194"/>
      <c r="BO162" s="194"/>
      <c r="BP162" s="194"/>
      <c r="BQ162" s="194"/>
      <c r="BR162" s="194"/>
      <c r="BS162" s="194"/>
      <c r="BT162" s="194"/>
      <c r="BU162" s="194"/>
      <c r="BV162" s="194"/>
      <c r="BW162" s="194"/>
      <c r="BX162" s="194"/>
      <c r="BY162" s="194"/>
      <c r="BZ162" s="194"/>
      <c r="CA162" s="194"/>
      <c r="CB162" s="194"/>
      <c r="CC162" s="194"/>
      <c r="CD162" s="194"/>
      <c r="CE162" s="194"/>
      <c r="CF162" s="194"/>
      <c r="CG162" s="194"/>
      <c r="CH162" s="194"/>
      <c r="CI162" s="194"/>
      <c r="CJ162" s="194"/>
      <c r="CK162" s="194"/>
      <c r="CL162" s="194"/>
      <c r="CM162" s="194"/>
      <c r="CN162" s="194"/>
      <c r="CO162" s="194"/>
      <c r="CP162" s="194"/>
      <c r="CQ162" s="194"/>
      <c r="CR162" s="194"/>
      <c r="CS162" s="194"/>
      <c r="CT162" s="194"/>
      <c r="CU162" s="194"/>
      <c r="CV162" s="194"/>
      <c r="CW162" s="194"/>
    </row>
    <row r="163" spans="1:101" s="195" customFormat="1" x14ac:dyDescent="0.25">
      <c r="A163" s="795" t="s">
        <v>63</v>
      </c>
      <c r="B163" s="793"/>
      <c r="C163" s="794"/>
      <c r="D163" s="494"/>
      <c r="E163" s="494">
        <f>'Client Input'!B60</f>
        <v>29520978</v>
      </c>
      <c r="F163" s="494">
        <f>'Client Input'!C60</f>
        <v>10732391</v>
      </c>
      <c r="G163" s="494">
        <f>'Client Input'!D60</f>
        <v>22185049</v>
      </c>
      <c r="H163" s="494">
        <f>'Client Input'!E60</f>
        <v>0</v>
      </c>
      <c r="I163" s="494">
        <f>'Client Input'!F60</f>
        <v>0</v>
      </c>
      <c r="J163" s="494">
        <f>'Client Input'!G60</f>
        <v>0</v>
      </c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4"/>
      <c r="AL163" s="194"/>
      <c r="AM163" s="194"/>
      <c r="AN163" s="194"/>
      <c r="AO163" s="194"/>
      <c r="AP163" s="194"/>
      <c r="AQ163" s="194"/>
      <c r="AR163" s="194"/>
      <c r="AS163" s="194"/>
      <c r="AT163" s="194"/>
      <c r="AU163" s="194"/>
      <c r="AV163" s="194"/>
      <c r="AW163" s="194"/>
      <c r="AX163" s="194"/>
      <c r="AY163" s="194"/>
      <c r="AZ163" s="194"/>
      <c r="BA163" s="194"/>
      <c r="BB163" s="194"/>
      <c r="BC163" s="194"/>
      <c r="BD163" s="194"/>
      <c r="BE163" s="194"/>
      <c r="BF163" s="194"/>
      <c r="BG163" s="194"/>
      <c r="BH163" s="194"/>
      <c r="BI163" s="194"/>
      <c r="BJ163" s="194"/>
      <c r="BK163" s="194"/>
      <c r="BL163" s="194"/>
      <c r="BM163" s="194"/>
      <c r="BN163" s="194"/>
      <c r="BO163" s="194"/>
      <c r="BP163" s="194"/>
      <c r="BQ163" s="194"/>
      <c r="BR163" s="194"/>
      <c r="BS163" s="194"/>
      <c r="BT163" s="194"/>
      <c r="BU163" s="194"/>
      <c r="BV163" s="194"/>
      <c r="BW163" s="194"/>
      <c r="BX163" s="194"/>
      <c r="BY163" s="194"/>
      <c r="BZ163" s="194"/>
      <c r="CA163" s="194"/>
      <c r="CB163" s="194"/>
      <c r="CC163" s="194"/>
      <c r="CD163" s="194"/>
      <c r="CE163" s="194"/>
      <c r="CF163" s="194"/>
      <c r="CG163" s="194"/>
      <c r="CH163" s="194"/>
      <c r="CI163" s="194"/>
      <c r="CJ163" s="194"/>
      <c r="CK163" s="194"/>
      <c r="CL163" s="194"/>
      <c r="CM163" s="194"/>
      <c r="CN163" s="194"/>
      <c r="CO163" s="194"/>
      <c r="CP163" s="194"/>
      <c r="CQ163" s="194"/>
      <c r="CR163" s="194"/>
      <c r="CS163" s="194"/>
      <c r="CT163" s="194"/>
      <c r="CU163" s="194"/>
      <c r="CV163" s="194"/>
      <c r="CW163" s="194"/>
    </row>
    <row r="164" spans="1:101" s="195" customFormat="1" x14ac:dyDescent="0.25">
      <c r="A164" s="344" t="s">
        <v>426</v>
      </c>
      <c r="B164" s="345"/>
      <c r="C164" s="346">
        <f>AVERAGEIF(E164:J164, "&lt;&gt;0")</f>
        <v>-0.18977905018370814</v>
      </c>
      <c r="D164" s="493"/>
      <c r="E164" s="347">
        <f>IFERROR(E163/D163-1,0)</f>
        <v>0</v>
      </c>
      <c r="F164" s="347">
        <f t="shared" ref="F164" si="308">IFERROR(F163/E163-1,0)</f>
        <v>-0.63644866372652009</v>
      </c>
      <c r="G164" s="347">
        <f t="shared" ref="G164" si="309">IFERROR(G163/F163-1,0)</f>
        <v>1.0671115131753957</v>
      </c>
      <c r="H164" s="347">
        <f t="shared" ref="H164" si="310">IFERROR(H163/G163-1,0)</f>
        <v>-1</v>
      </c>
      <c r="I164" s="347">
        <f t="shared" ref="I164" si="311">IFERROR(I163/H163-1,0)</f>
        <v>0</v>
      </c>
      <c r="J164" s="351">
        <f t="shared" ref="J164" si="312">IFERROR(J163/I163-1,0)</f>
        <v>0</v>
      </c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194"/>
      <c r="AT164" s="194"/>
      <c r="AU164" s="194"/>
      <c r="AV164" s="194"/>
      <c r="AW164" s="194"/>
      <c r="AX164" s="194"/>
      <c r="AY164" s="194"/>
      <c r="AZ164" s="194"/>
      <c r="BA164" s="194"/>
      <c r="BB164" s="194"/>
      <c r="BC164" s="194"/>
      <c r="BD164" s="194"/>
      <c r="BE164" s="194"/>
      <c r="BF164" s="194"/>
      <c r="BG164" s="194"/>
      <c r="BH164" s="194"/>
      <c r="BI164" s="194"/>
      <c r="BJ164" s="194"/>
      <c r="BK164" s="194"/>
      <c r="BL164" s="194"/>
      <c r="BM164" s="194"/>
      <c r="BN164" s="194"/>
      <c r="BO164" s="194"/>
      <c r="BP164" s="194"/>
      <c r="BQ164" s="194"/>
      <c r="BR164" s="194"/>
      <c r="BS164" s="194"/>
      <c r="BT164" s="194"/>
      <c r="BU164" s="194"/>
      <c r="BV164" s="194"/>
      <c r="BW164" s="194"/>
      <c r="BX164" s="194"/>
      <c r="BY164" s="194"/>
      <c r="BZ164" s="194"/>
      <c r="CA164" s="194"/>
      <c r="CB164" s="194"/>
      <c r="CC164" s="194"/>
      <c r="CD164" s="194"/>
      <c r="CE164" s="194"/>
      <c r="CF164" s="194"/>
      <c r="CG164" s="194"/>
      <c r="CH164" s="194"/>
      <c r="CI164" s="194"/>
      <c r="CJ164" s="194"/>
      <c r="CK164" s="194"/>
      <c r="CL164" s="194"/>
      <c r="CM164" s="194"/>
      <c r="CN164" s="194"/>
      <c r="CO164" s="194"/>
      <c r="CP164" s="194"/>
      <c r="CQ164" s="194"/>
      <c r="CR164" s="194"/>
      <c r="CS164" s="194"/>
      <c r="CT164" s="194"/>
      <c r="CU164" s="194"/>
      <c r="CV164" s="194"/>
      <c r="CW164" s="194"/>
    </row>
    <row r="165" spans="1:101" s="195" customFormat="1" x14ac:dyDescent="0.25">
      <c r="A165" s="792" t="s">
        <v>1775</v>
      </c>
      <c r="B165" s="793"/>
      <c r="C165" s="794"/>
      <c r="D165" s="494"/>
      <c r="E165" s="494">
        <f>'Client Input'!B61</f>
        <v>13595501</v>
      </c>
      <c r="F165" s="494">
        <f>'Client Input'!C61</f>
        <v>30783785</v>
      </c>
      <c r="G165" s="494">
        <f>'Client Input'!D61</f>
        <v>27665134</v>
      </c>
      <c r="H165" s="494">
        <f>'Client Input'!E61</f>
        <v>14610889</v>
      </c>
      <c r="I165" s="494">
        <f>'Client Input'!F61</f>
        <v>14610889</v>
      </c>
      <c r="J165" s="494">
        <f>'Client Input'!G61</f>
        <v>14610889</v>
      </c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4"/>
      <c r="AL165" s="194"/>
      <c r="AM165" s="194"/>
      <c r="AN165" s="194"/>
      <c r="AO165" s="194"/>
      <c r="AP165" s="194"/>
      <c r="AQ165" s="194"/>
      <c r="AR165" s="194"/>
      <c r="AS165" s="194"/>
      <c r="AT165" s="194"/>
      <c r="AU165" s="194"/>
      <c r="AV165" s="194"/>
      <c r="AW165" s="194"/>
      <c r="AX165" s="194"/>
      <c r="AY165" s="194"/>
      <c r="AZ165" s="194"/>
      <c r="BA165" s="194"/>
      <c r="BB165" s="194"/>
      <c r="BC165" s="194"/>
      <c r="BD165" s="194"/>
      <c r="BE165" s="194"/>
      <c r="BF165" s="194"/>
      <c r="BG165" s="194"/>
      <c r="BH165" s="194"/>
      <c r="BI165" s="194"/>
      <c r="BJ165" s="194"/>
      <c r="BK165" s="194"/>
      <c r="BL165" s="194"/>
      <c r="BM165" s="194"/>
      <c r="BN165" s="194"/>
      <c r="BO165" s="194"/>
      <c r="BP165" s="194"/>
      <c r="BQ165" s="194"/>
      <c r="BR165" s="194"/>
      <c r="BS165" s="194"/>
      <c r="BT165" s="194"/>
      <c r="BU165" s="194"/>
      <c r="BV165" s="194"/>
      <c r="BW165" s="194"/>
      <c r="BX165" s="194"/>
      <c r="BY165" s="194"/>
      <c r="BZ165" s="194"/>
      <c r="CA165" s="194"/>
      <c r="CB165" s="194"/>
      <c r="CC165" s="194"/>
      <c r="CD165" s="194"/>
      <c r="CE165" s="194"/>
      <c r="CF165" s="194"/>
      <c r="CG165" s="194"/>
      <c r="CH165" s="194"/>
      <c r="CI165" s="194"/>
      <c r="CJ165" s="194"/>
      <c r="CK165" s="194"/>
      <c r="CL165" s="194"/>
      <c r="CM165" s="194"/>
      <c r="CN165" s="194"/>
      <c r="CO165" s="194"/>
      <c r="CP165" s="194"/>
      <c r="CQ165" s="194"/>
      <c r="CR165" s="194"/>
      <c r="CS165" s="194"/>
      <c r="CT165" s="194"/>
      <c r="CU165" s="194"/>
      <c r="CV165" s="194"/>
      <c r="CW165" s="194"/>
    </row>
    <row r="166" spans="1:101" s="195" customFormat="1" x14ac:dyDescent="0.25">
      <c r="A166" s="344" t="s">
        <v>426</v>
      </c>
      <c r="B166" s="345"/>
      <c r="C166" s="346">
        <f>AVERAGEIF(E166:J166, "&lt;&gt;0")</f>
        <v>0.23036269419474073</v>
      </c>
      <c r="D166" s="493"/>
      <c r="E166" s="347">
        <f>IFERROR(E165/D165-1,0)</f>
        <v>0</v>
      </c>
      <c r="F166" s="347">
        <f t="shared" ref="F166" si="313">IFERROR(F165/E165-1,0)</f>
        <v>1.2642626410016078</v>
      </c>
      <c r="G166" s="347">
        <f t="shared" ref="G166" si="314">IFERROR(G165/F165-1,0)</f>
        <v>-0.10130823743733919</v>
      </c>
      <c r="H166" s="347">
        <f t="shared" ref="H166" si="315">IFERROR(H165/G165-1,0)</f>
        <v>-0.47186632098004655</v>
      </c>
      <c r="I166" s="347">
        <f t="shared" ref="I166" si="316">IFERROR(I165/H165-1,0)</f>
        <v>0</v>
      </c>
      <c r="J166" s="351">
        <f t="shared" ref="J166" si="317">IFERROR(J165/I165-1,0)</f>
        <v>0</v>
      </c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4"/>
      <c r="AL166" s="194"/>
      <c r="AM166" s="194"/>
      <c r="AN166" s="194"/>
      <c r="AO166" s="194"/>
      <c r="AP166" s="194"/>
      <c r="AQ166" s="194"/>
      <c r="AR166" s="194"/>
      <c r="AS166" s="194"/>
      <c r="AT166" s="194"/>
      <c r="AU166" s="194"/>
      <c r="AV166" s="194"/>
      <c r="AW166" s="194"/>
      <c r="AX166" s="194"/>
      <c r="AY166" s="194"/>
      <c r="AZ166" s="194"/>
      <c r="BA166" s="194"/>
      <c r="BB166" s="194"/>
      <c r="BC166" s="194"/>
      <c r="BD166" s="194"/>
      <c r="BE166" s="194"/>
      <c r="BF166" s="194"/>
      <c r="BG166" s="194"/>
      <c r="BH166" s="194"/>
      <c r="BI166" s="194"/>
      <c r="BJ166" s="194"/>
      <c r="BK166" s="194"/>
      <c r="BL166" s="194"/>
      <c r="BM166" s="194"/>
      <c r="BN166" s="194"/>
      <c r="BO166" s="194"/>
      <c r="BP166" s="194"/>
      <c r="BQ166" s="194"/>
      <c r="BR166" s="194"/>
      <c r="BS166" s="194"/>
      <c r="BT166" s="194"/>
      <c r="BU166" s="194"/>
      <c r="BV166" s="194"/>
      <c r="BW166" s="194"/>
      <c r="BX166" s="194"/>
      <c r="BY166" s="194"/>
      <c r="BZ166" s="194"/>
      <c r="CA166" s="194"/>
      <c r="CB166" s="194"/>
      <c r="CC166" s="194"/>
      <c r="CD166" s="194"/>
      <c r="CE166" s="194"/>
      <c r="CF166" s="194"/>
      <c r="CG166" s="194"/>
      <c r="CH166" s="194"/>
      <c r="CI166" s="194"/>
      <c r="CJ166" s="194"/>
      <c r="CK166" s="194"/>
      <c r="CL166" s="194"/>
      <c r="CM166" s="194"/>
      <c r="CN166" s="194"/>
      <c r="CO166" s="194"/>
      <c r="CP166" s="194"/>
      <c r="CQ166" s="194"/>
      <c r="CR166" s="194"/>
      <c r="CS166" s="194"/>
      <c r="CT166" s="194"/>
      <c r="CU166" s="194"/>
      <c r="CV166" s="194"/>
      <c r="CW166" s="194"/>
    </row>
    <row r="167" spans="1:101" x14ac:dyDescent="0.25">
      <c r="A167" s="258"/>
      <c r="B167" s="217"/>
      <c r="C167" s="216"/>
      <c r="D167" s="528"/>
      <c r="E167" s="528"/>
      <c r="F167" s="528"/>
      <c r="G167" s="512"/>
      <c r="H167" s="512"/>
      <c r="I167" s="512"/>
      <c r="J167" s="513"/>
    </row>
    <row r="168" spans="1:101" s="195" customFormat="1" x14ac:dyDescent="0.25">
      <c r="A168" s="795" t="s">
        <v>64</v>
      </c>
      <c r="B168" s="794"/>
      <c r="C168" s="220"/>
      <c r="D168" s="494">
        <v>0</v>
      </c>
      <c r="E168" s="494">
        <f>'Client Input'!B62</f>
        <v>0</v>
      </c>
      <c r="F168" s="494">
        <f>'Client Input'!C62</f>
        <v>0</v>
      </c>
      <c r="G168" s="494">
        <f>'Client Input'!D62</f>
        <v>0</v>
      </c>
      <c r="H168" s="494">
        <f>'Client Input'!E62</f>
        <v>0</v>
      </c>
      <c r="I168" s="494">
        <f>'Client Input'!F62</f>
        <v>0</v>
      </c>
      <c r="J168" s="494">
        <f>'Client Input'!G62</f>
        <v>0</v>
      </c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4"/>
      <c r="AL168" s="194"/>
      <c r="AM168" s="194"/>
      <c r="AN168" s="194"/>
      <c r="AO168" s="194"/>
      <c r="AP168" s="194"/>
      <c r="AQ168" s="194"/>
      <c r="AR168" s="194"/>
      <c r="AS168" s="194"/>
      <c r="AT168" s="194"/>
      <c r="AU168" s="194"/>
      <c r="AV168" s="194"/>
      <c r="AW168" s="194"/>
      <c r="AX168" s="194"/>
      <c r="AY168" s="194"/>
      <c r="AZ168" s="194"/>
      <c r="BA168" s="194"/>
      <c r="BB168" s="194"/>
      <c r="BC168" s="194"/>
      <c r="BD168" s="194"/>
      <c r="BE168" s="194"/>
      <c r="BF168" s="194"/>
      <c r="BG168" s="194"/>
      <c r="BH168" s="194"/>
      <c r="BI168" s="194"/>
      <c r="BJ168" s="194"/>
      <c r="BK168" s="194"/>
      <c r="BL168" s="194"/>
      <c r="BM168" s="194"/>
      <c r="BN168" s="194"/>
      <c r="BO168" s="194"/>
      <c r="BP168" s="194"/>
      <c r="BQ168" s="194"/>
      <c r="BR168" s="194"/>
      <c r="BS168" s="194"/>
      <c r="BT168" s="194"/>
      <c r="BU168" s="194"/>
      <c r="BV168" s="194"/>
      <c r="BW168" s="194"/>
      <c r="BX168" s="194"/>
      <c r="BY168" s="194"/>
      <c r="BZ168" s="194"/>
      <c r="CA168" s="194"/>
      <c r="CB168" s="194"/>
      <c r="CC168" s="194"/>
      <c r="CD168" s="194"/>
      <c r="CE168" s="194"/>
      <c r="CF168" s="194"/>
      <c r="CG168" s="194"/>
      <c r="CH168" s="194"/>
      <c r="CI168" s="194"/>
      <c r="CJ168" s="194"/>
      <c r="CK168" s="194"/>
      <c r="CL168" s="194"/>
      <c r="CM168" s="194"/>
      <c r="CN168" s="194"/>
      <c r="CO168" s="194"/>
      <c r="CP168" s="194"/>
      <c r="CQ168" s="194"/>
      <c r="CR168" s="194"/>
      <c r="CS168" s="194"/>
      <c r="CT168" s="194"/>
      <c r="CU168" s="194"/>
      <c r="CV168" s="194"/>
      <c r="CW168" s="194"/>
    </row>
    <row r="169" spans="1:101" s="195" customFormat="1" x14ac:dyDescent="0.25">
      <c r="A169" s="344" t="s">
        <v>426</v>
      </c>
      <c r="B169" s="345"/>
      <c r="C169" s="346" t="e">
        <f>AVERAGEIF(E169:J169, "&lt;&gt;0")</f>
        <v>#DIV/0!</v>
      </c>
      <c r="D169" s="493"/>
      <c r="E169" s="347">
        <f>IFERROR(E168/D168-1,0)</f>
        <v>0</v>
      </c>
      <c r="F169" s="347">
        <f t="shared" ref="F169" si="318">IFERROR(F168/E168-1,0)</f>
        <v>0</v>
      </c>
      <c r="G169" s="347">
        <f t="shared" ref="G169" si="319">IFERROR(G168/F168-1,0)</f>
        <v>0</v>
      </c>
      <c r="H169" s="347">
        <f t="shared" ref="H169" si="320">IFERROR(H168/G168-1,0)</f>
        <v>0</v>
      </c>
      <c r="I169" s="347">
        <f t="shared" ref="I169" si="321">IFERROR(I168/H168-1,0)</f>
        <v>0</v>
      </c>
      <c r="J169" s="351">
        <f t="shared" ref="J169" si="322">IFERROR(J168/I168-1,0)</f>
        <v>0</v>
      </c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4"/>
      <c r="AL169" s="194"/>
      <c r="AM169" s="194"/>
      <c r="AN169" s="194"/>
      <c r="AO169" s="194"/>
      <c r="AP169" s="194"/>
      <c r="AQ169" s="194"/>
      <c r="AR169" s="194"/>
      <c r="AS169" s="194"/>
      <c r="AT169" s="194"/>
      <c r="AU169" s="194"/>
      <c r="AV169" s="194"/>
      <c r="AW169" s="194"/>
      <c r="AX169" s="194"/>
      <c r="AY169" s="194"/>
      <c r="AZ169" s="194"/>
      <c r="BA169" s="194"/>
      <c r="BB169" s="194"/>
      <c r="BC169" s="194"/>
      <c r="BD169" s="194"/>
      <c r="BE169" s="194"/>
      <c r="BF169" s="194"/>
      <c r="BG169" s="194"/>
      <c r="BH169" s="194"/>
      <c r="BI169" s="194"/>
      <c r="BJ169" s="194"/>
      <c r="BK169" s="194"/>
      <c r="BL169" s="194"/>
      <c r="BM169" s="194"/>
      <c r="BN169" s="194"/>
      <c r="BO169" s="194"/>
      <c r="BP169" s="194"/>
      <c r="BQ169" s="194"/>
      <c r="BR169" s="194"/>
      <c r="BS169" s="194"/>
      <c r="BT169" s="194"/>
      <c r="BU169" s="194"/>
      <c r="BV169" s="194"/>
      <c r="BW169" s="194"/>
      <c r="BX169" s="194"/>
      <c r="BY169" s="194"/>
      <c r="BZ169" s="194"/>
      <c r="CA169" s="194"/>
      <c r="CB169" s="194"/>
      <c r="CC169" s="194"/>
      <c r="CD169" s="194"/>
      <c r="CE169" s="194"/>
      <c r="CF169" s="194"/>
      <c r="CG169" s="194"/>
      <c r="CH169" s="194"/>
      <c r="CI169" s="194"/>
      <c r="CJ169" s="194"/>
      <c r="CK169" s="194"/>
      <c r="CL169" s="194"/>
      <c r="CM169" s="194"/>
      <c r="CN169" s="194"/>
      <c r="CO169" s="194"/>
      <c r="CP169" s="194"/>
      <c r="CQ169" s="194"/>
      <c r="CR169" s="194"/>
      <c r="CS169" s="194"/>
      <c r="CT169" s="194"/>
      <c r="CU169" s="194"/>
      <c r="CV169" s="194"/>
      <c r="CW169" s="194"/>
    </row>
    <row r="170" spans="1:101" s="195" customFormat="1" x14ac:dyDescent="0.25">
      <c r="A170" s="795" t="s">
        <v>65</v>
      </c>
      <c r="B170" s="793"/>
      <c r="C170" s="794"/>
      <c r="D170" s="494">
        <v>0</v>
      </c>
      <c r="E170" s="494">
        <f>'Client Input'!B63</f>
        <v>0</v>
      </c>
      <c r="F170" s="494">
        <f>'Client Input'!C63</f>
        <v>0</v>
      </c>
      <c r="G170" s="494">
        <f>'Client Input'!D63</f>
        <v>0</v>
      </c>
      <c r="H170" s="494">
        <f>'Client Input'!E63</f>
        <v>0</v>
      </c>
      <c r="I170" s="494">
        <f>'Client Input'!F63</f>
        <v>0</v>
      </c>
      <c r="J170" s="494">
        <f>'Client Input'!G63</f>
        <v>0</v>
      </c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4"/>
      <c r="AT170" s="194"/>
      <c r="AU170" s="194"/>
      <c r="AV170" s="194"/>
      <c r="AW170" s="194"/>
      <c r="AX170" s="194"/>
      <c r="AY170" s="194"/>
      <c r="AZ170" s="194"/>
      <c r="BA170" s="194"/>
      <c r="BB170" s="194"/>
      <c r="BC170" s="194"/>
      <c r="BD170" s="194"/>
      <c r="BE170" s="194"/>
      <c r="BF170" s="194"/>
      <c r="BG170" s="194"/>
      <c r="BH170" s="194"/>
      <c r="BI170" s="194"/>
      <c r="BJ170" s="194"/>
      <c r="BK170" s="194"/>
      <c r="BL170" s="194"/>
      <c r="BM170" s="194"/>
      <c r="BN170" s="194"/>
      <c r="BO170" s="194"/>
      <c r="BP170" s="194"/>
      <c r="BQ170" s="194"/>
      <c r="BR170" s="194"/>
      <c r="BS170" s="194"/>
      <c r="BT170" s="194"/>
      <c r="BU170" s="194"/>
      <c r="BV170" s="194"/>
      <c r="BW170" s="194"/>
      <c r="BX170" s="194"/>
      <c r="BY170" s="194"/>
      <c r="BZ170" s="194"/>
      <c r="CA170" s="194"/>
      <c r="CB170" s="194"/>
      <c r="CC170" s="194"/>
      <c r="CD170" s="194"/>
      <c r="CE170" s="194"/>
      <c r="CF170" s="194"/>
      <c r="CG170" s="194"/>
      <c r="CH170" s="194"/>
      <c r="CI170" s="194"/>
      <c r="CJ170" s="194"/>
      <c r="CK170" s="194"/>
      <c r="CL170" s="194"/>
      <c r="CM170" s="194"/>
      <c r="CN170" s="194"/>
      <c r="CO170" s="194"/>
      <c r="CP170" s="194"/>
      <c r="CQ170" s="194"/>
      <c r="CR170" s="194"/>
      <c r="CS170" s="194"/>
      <c r="CT170" s="194"/>
      <c r="CU170" s="194"/>
      <c r="CV170" s="194"/>
      <c r="CW170" s="194"/>
    </row>
    <row r="171" spans="1:101" s="195" customFormat="1" x14ac:dyDescent="0.25">
      <c r="A171" s="344" t="s">
        <v>426</v>
      </c>
      <c r="B171" s="345"/>
      <c r="C171" s="346" t="e">
        <f>AVERAGEIF(E171:J171, "&lt;&gt;0")</f>
        <v>#DIV/0!</v>
      </c>
      <c r="D171" s="493"/>
      <c r="E171" s="347">
        <f>IFERROR(E170/D170-1,0)</f>
        <v>0</v>
      </c>
      <c r="F171" s="347">
        <f t="shared" ref="F171" si="323">IFERROR(F170/E170-1,0)</f>
        <v>0</v>
      </c>
      <c r="G171" s="347">
        <f t="shared" ref="G171" si="324">IFERROR(G170/F170-1,0)</f>
        <v>0</v>
      </c>
      <c r="H171" s="347">
        <f t="shared" ref="H171" si="325">IFERROR(H170/G170-1,0)</f>
        <v>0</v>
      </c>
      <c r="I171" s="347">
        <f t="shared" ref="I171" si="326">IFERROR(I170/H170-1,0)</f>
        <v>0</v>
      </c>
      <c r="J171" s="351">
        <f t="shared" ref="J171" si="327">IFERROR(J170/I170-1,0)</f>
        <v>0</v>
      </c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4"/>
      <c r="AT171" s="194"/>
      <c r="AU171" s="194"/>
      <c r="AV171" s="194"/>
      <c r="AW171" s="194"/>
      <c r="AX171" s="194"/>
      <c r="AY171" s="194"/>
      <c r="AZ171" s="194"/>
      <c r="BA171" s="194"/>
      <c r="BB171" s="194"/>
      <c r="BC171" s="194"/>
      <c r="BD171" s="194"/>
      <c r="BE171" s="194"/>
      <c r="BF171" s="194"/>
      <c r="BG171" s="194"/>
      <c r="BH171" s="194"/>
      <c r="BI171" s="194"/>
      <c r="BJ171" s="194"/>
      <c r="BK171" s="194"/>
      <c r="BL171" s="194"/>
      <c r="BM171" s="194"/>
      <c r="BN171" s="194"/>
      <c r="BO171" s="194"/>
      <c r="BP171" s="194"/>
      <c r="BQ171" s="194"/>
      <c r="BR171" s="194"/>
      <c r="BS171" s="194"/>
      <c r="BT171" s="194"/>
      <c r="BU171" s="194"/>
      <c r="BV171" s="194"/>
      <c r="BW171" s="194"/>
      <c r="BX171" s="194"/>
      <c r="BY171" s="194"/>
      <c r="BZ171" s="194"/>
      <c r="CA171" s="194"/>
      <c r="CB171" s="194"/>
      <c r="CC171" s="194"/>
      <c r="CD171" s="194"/>
      <c r="CE171" s="194"/>
      <c r="CF171" s="194"/>
      <c r="CG171" s="194"/>
      <c r="CH171" s="194"/>
      <c r="CI171" s="194"/>
      <c r="CJ171" s="194"/>
      <c r="CK171" s="194"/>
      <c r="CL171" s="194"/>
      <c r="CM171" s="194"/>
      <c r="CN171" s="194"/>
      <c r="CO171" s="194"/>
      <c r="CP171" s="194"/>
      <c r="CQ171" s="194"/>
      <c r="CR171" s="194"/>
      <c r="CS171" s="194"/>
      <c r="CT171" s="194"/>
      <c r="CU171" s="194"/>
      <c r="CV171" s="194"/>
      <c r="CW171" s="194"/>
    </row>
    <row r="172" spans="1:101" s="195" customFormat="1" x14ac:dyDescent="0.25">
      <c r="A172" s="795" t="s">
        <v>66</v>
      </c>
      <c r="B172" s="793"/>
      <c r="C172" s="794"/>
      <c r="D172" s="494">
        <v>0</v>
      </c>
      <c r="E172" s="494">
        <f>'Client Input'!B64</f>
        <v>0</v>
      </c>
      <c r="F172" s="494">
        <f>'Client Input'!C64</f>
        <v>0</v>
      </c>
      <c r="G172" s="494">
        <f>'Client Input'!D64</f>
        <v>0</v>
      </c>
      <c r="H172" s="494">
        <f>'Client Input'!E64</f>
        <v>0</v>
      </c>
      <c r="I172" s="494">
        <f>'Client Input'!F64</f>
        <v>0</v>
      </c>
      <c r="J172" s="494">
        <f>'Client Input'!G64</f>
        <v>0</v>
      </c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4"/>
      <c r="AT172" s="194"/>
      <c r="AU172" s="194"/>
      <c r="AV172" s="194"/>
      <c r="AW172" s="194"/>
      <c r="AX172" s="194"/>
      <c r="AY172" s="194"/>
      <c r="AZ172" s="194"/>
      <c r="BA172" s="194"/>
      <c r="BB172" s="194"/>
      <c r="BC172" s="194"/>
      <c r="BD172" s="194"/>
      <c r="BE172" s="194"/>
      <c r="BF172" s="194"/>
      <c r="BG172" s="194"/>
      <c r="BH172" s="194"/>
      <c r="BI172" s="194"/>
      <c r="BJ172" s="194"/>
      <c r="BK172" s="194"/>
      <c r="BL172" s="194"/>
      <c r="BM172" s="194"/>
      <c r="BN172" s="194"/>
      <c r="BO172" s="194"/>
      <c r="BP172" s="194"/>
      <c r="BQ172" s="194"/>
      <c r="BR172" s="194"/>
      <c r="BS172" s="194"/>
      <c r="BT172" s="194"/>
      <c r="BU172" s="194"/>
      <c r="BV172" s="194"/>
      <c r="BW172" s="194"/>
      <c r="BX172" s="194"/>
      <c r="BY172" s="194"/>
      <c r="BZ172" s="194"/>
      <c r="CA172" s="194"/>
      <c r="CB172" s="194"/>
      <c r="CC172" s="194"/>
      <c r="CD172" s="194"/>
      <c r="CE172" s="194"/>
      <c r="CF172" s="194"/>
      <c r="CG172" s="194"/>
      <c r="CH172" s="194"/>
      <c r="CI172" s="194"/>
      <c r="CJ172" s="194"/>
      <c r="CK172" s="194"/>
      <c r="CL172" s="194"/>
      <c r="CM172" s="194"/>
      <c r="CN172" s="194"/>
      <c r="CO172" s="194"/>
      <c r="CP172" s="194"/>
      <c r="CQ172" s="194"/>
      <c r="CR172" s="194"/>
      <c r="CS172" s="194"/>
      <c r="CT172" s="194"/>
      <c r="CU172" s="194"/>
      <c r="CV172" s="194"/>
      <c r="CW172" s="194"/>
    </row>
    <row r="173" spans="1:101" s="195" customFormat="1" x14ac:dyDescent="0.25">
      <c r="A173" s="344" t="s">
        <v>426</v>
      </c>
      <c r="B173" s="345"/>
      <c r="C173" s="346" t="e">
        <f>AVERAGEIF(E173:J173, "&lt;&gt;0")</f>
        <v>#DIV/0!</v>
      </c>
      <c r="D173" s="493"/>
      <c r="E173" s="347">
        <f>IFERROR(E172/D172-1,0)</f>
        <v>0</v>
      </c>
      <c r="F173" s="347">
        <f t="shared" ref="F173" si="328">IFERROR(F172/E172-1,0)</f>
        <v>0</v>
      </c>
      <c r="G173" s="347">
        <f t="shared" ref="G173" si="329">IFERROR(G172/F172-1,0)</f>
        <v>0</v>
      </c>
      <c r="H173" s="347">
        <f t="shared" ref="H173" si="330">IFERROR(H172/G172-1,0)</f>
        <v>0</v>
      </c>
      <c r="I173" s="347">
        <f t="shared" ref="I173" si="331">IFERROR(I172/H172-1,0)</f>
        <v>0</v>
      </c>
      <c r="J173" s="351">
        <f t="shared" ref="J173" si="332">IFERROR(J172/I172-1,0)</f>
        <v>0</v>
      </c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4"/>
      <c r="AT173" s="194"/>
      <c r="AU173" s="194"/>
      <c r="AV173" s="194"/>
      <c r="AW173" s="194"/>
      <c r="AX173" s="194"/>
      <c r="AY173" s="194"/>
      <c r="AZ173" s="194"/>
      <c r="BA173" s="194"/>
      <c r="BB173" s="194"/>
      <c r="BC173" s="194"/>
      <c r="BD173" s="194"/>
      <c r="BE173" s="194"/>
      <c r="BF173" s="194"/>
      <c r="BG173" s="194"/>
      <c r="BH173" s="194"/>
      <c r="BI173" s="194"/>
      <c r="BJ173" s="194"/>
      <c r="BK173" s="194"/>
      <c r="BL173" s="194"/>
      <c r="BM173" s="194"/>
      <c r="BN173" s="194"/>
      <c r="BO173" s="194"/>
      <c r="BP173" s="194"/>
      <c r="BQ173" s="194"/>
      <c r="BR173" s="194"/>
      <c r="BS173" s="194"/>
      <c r="BT173" s="194"/>
      <c r="BU173" s="194"/>
      <c r="BV173" s="194"/>
      <c r="BW173" s="194"/>
      <c r="BX173" s="194"/>
      <c r="BY173" s="194"/>
      <c r="BZ173" s="194"/>
      <c r="CA173" s="194"/>
      <c r="CB173" s="194"/>
      <c r="CC173" s="194"/>
      <c r="CD173" s="194"/>
      <c r="CE173" s="194"/>
      <c r="CF173" s="194"/>
      <c r="CG173" s="194"/>
      <c r="CH173" s="194"/>
      <c r="CI173" s="194"/>
      <c r="CJ173" s="194"/>
      <c r="CK173" s="194"/>
      <c r="CL173" s="194"/>
      <c r="CM173" s="194"/>
      <c r="CN173" s="194"/>
      <c r="CO173" s="194"/>
      <c r="CP173" s="194"/>
      <c r="CQ173" s="194"/>
      <c r="CR173" s="194"/>
      <c r="CS173" s="194"/>
      <c r="CT173" s="194"/>
      <c r="CU173" s="194"/>
      <c r="CV173" s="194"/>
      <c r="CW173" s="194"/>
    </row>
    <row r="174" spans="1:101" x14ac:dyDescent="0.25">
      <c r="A174" s="258"/>
      <c r="B174" s="217"/>
      <c r="C174" s="216"/>
      <c r="D174" s="529"/>
      <c r="E174" s="529"/>
      <c r="F174" s="529"/>
      <c r="G174" s="512"/>
      <c r="H174" s="512"/>
      <c r="I174" s="512"/>
      <c r="J174" s="513"/>
    </row>
    <row r="175" spans="1:101" x14ac:dyDescent="0.25">
      <c r="A175" s="265" t="s">
        <v>67</v>
      </c>
      <c r="B175" s="222"/>
      <c r="C175" s="223"/>
      <c r="D175" s="530">
        <f>SUM(D168+D170+D172)</f>
        <v>0</v>
      </c>
      <c r="E175" s="530">
        <f t="shared" ref="E175:J175" si="333">SUM(E168+E170+E172)</f>
        <v>0</v>
      </c>
      <c r="F175" s="530">
        <f t="shared" si="333"/>
        <v>0</v>
      </c>
      <c r="G175" s="530">
        <f t="shared" si="333"/>
        <v>0</v>
      </c>
      <c r="H175" s="530">
        <f t="shared" si="333"/>
        <v>0</v>
      </c>
      <c r="I175" s="530">
        <f t="shared" si="333"/>
        <v>0</v>
      </c>
      <c r="J175" s="530">
        <f t="shared" si="333"/>
        <v>0</v>
      </c>
    </row>
    <row r="176" spans="1:101" x14ac:dyDescent="0.25">
      <c r="A176" s="344" t="s">
        <v>426</v>
      </c>
      <c r="B176" s="345"/>
      <c r="C176" s="346" t="e">
        <f>AVERAGEIF(E176:J176, "&lt;&gt;0")</f>
        <v>#DIV/0!</v>
      </c>
      <c r="D176" s="493"/>
      <c r="E176" s="347">
        <f>IFERROR(E175/D175-1,0)</f>
        <v>0</v>
      </c>
      <c r="F176" s="347">
        <f t="shared" ref="F176" si="334">IFERROR(F175/E175-1,0)</f>
        <v>0</v>
      </c>
      <c r="G176" s="347">
        <f t="shared" ref="G176" si="335">IFERROR(G175/F175-1,0)</f>
        <v>0</v>
      </c>
      <c r="H176" s="347">
        <f t="shared" ref="H176" si="336">IFERROR(H175/G175-1,0)</f>
        <v>0</v>
      </c>
      <c r="I176" s="347">
        <f t="shared" ref="I176" si="337">IFERROR(I175/H175-1,0)</f>
        <v>0</v>
      </c>
      <c r="J176" s="351">
        <f t="shared" ref="J176" si="338">IFERROR(J175/I175-1,0)</f>
        <v>0</v>
      </c>
    </row>
    <row r="177" spans="1:10" x14ac:dyDescent="0.25">
      <c r="A177" s="267"/>
      <c r="B177" s="217"/>
      <c r="C177" s="216"/>
      <c r="D177" s="531"/>
      <c r="E177" s="531"/>
      <c r="F177" s="531"/>
      <c r="G177" s="512"/>
      <c r="H177" s="512"/>
      <c r="I177" s="512"/>
      <c r="J177" s="513"/>
    </row>
    <row r="178" spans="1:10" x14ac:dyDescent="0.25">
      <c r="A178" s="806" t="s">
        <v>68</v>
      </c>
      <c r="B178" s="807"/>
      <c r="C178" s="808"/>
      <c r="D178" s="530">
        <f>+D175+D154+SUM(D157+D159+D161+D163+D165)</f>
        <v>0</v>
      </c>
      <c r="E178" s="530">
        <f t="shared" ref="E178:J178" si="339">+E175+E154+SUM(E157+E159+E161+E163+E165)</f>
        <v>636016486</v>
      </c>
      <c r="F178" s="530">
        <f t="shared" si="339"/>
        <v>629966456</v>
      </c>
      <c r="G178" s="530">
        <f t="shared" si="339"/>
        <v>657325742</v>
      </c>
      <c r="H178" s="530">
        <f t="shared" si="339"/>
        <v>752831246.54999995</v>
      </c>
      <c r="I178" s="530">
        <f t="shared" si="339"/>
        <v>914969622.12249994</v>
      </c>
      <c r="J178" s="530">
        <f t="shared" si="339"/>
        <v>1115867806.8886251</v>
      </c>
    </row>
    <row r="179" spans="1:10" x14ac:dyDescent="0.25">
      <c r="A179" s="344" t="s">
        <v>426</v>
      </c>
      <c r="B179" s="345"/>
      <c r="C179" s="346">
        <f>AVERAGEIF(E179:J179, "&lt;&gt;0")</f>
        <v>0.12283020413812462</v>
      </c>
      <c r="D179" s="493"/>
      <c r="E179" s="347">
        <f>IFERROR(E178/D178-1,0)</f>
        <v>0</v>
      </c>
      <c r="F179" s="347">
        <f t="shared" ref="F179" si="340">IFERROR(F178/E178-1,0)</f>
        <v>-9.512379212132549E-3</v>
      </c>
      <c r="G179" s="347">
        <f t="shared" ref="G179" si="341">IFERROR(G178/F178-1,0)</f>
        <v>4.3429750488175101E-2</v>
      </c>
      <c r="H179" s="347">
        <f t="shared" ref="H179" si="342">IFERROR(H178/G178-1,0)</f>
        <v>0.14529402767555077</v>
      </c>
      <c r="I179" s="347">
        <f t="shared" ref="I179" si="343">IFERROR(I178/H178-1,0)</f>
        <v>0.21537147443803861</v>
      </c>
      <c r="J179" s="351">
        <f t="shared" ref="J179" si="344">IFERROR(J178/I178-1,0)</f>
        <v>0.21956814730099117</v>
      </c>
    </row>
    <row r="180" spans="1:10" s="233" customFormat="1" x14ac:dyDescent="0.25">
      <c r="A180" s="258"/>
      <c r="B180" s="217"/>
      <c r="C180" s="216"/>
      <c r="D180" s="529"/>
      <c r="E180" s="529"/>
      <c r="F180" s="529"/>
      <c r="G180" s="512"/>
      <c r="H180" s="512"/>
      <c r="I180" s="512"/>
      <c r="J180" s="513"/>
    </row>
    <row r="181" spans="1:10" x14ac:dyDescent="0.25">
      <c r="A181" s="806" t="s">
        <v>69</v>
      </c>
      <c r="B181" s="807"/>
      <c r="C181" s="808"/>
      <c r="D181" s="530">
        <f t="shared" ref="D181:J181" si="345">+D178+D138</f>
        <v>0</v>
      </c>
      <c r="E181" s="530">
        <f t="shared" si="345"/>
        <v>1487944672</v>
      </c>
      <c r="F181" s="530">
        <f t="shared" si="345"/>
        <v>2153065499</v>
      </c>
      <c r="G181" s="530">
        <f t="shared" si="345"/>
        <v>2450972018</v>
      </c>
      <c r="H181" s="530">
        <f t="shared" si="345"/>
        <v>2596068341.9339724</v>
      </c>
      <c r="I181" s="530">
        <f t="shared" si="345"/>
        <v>2895009530.1566234</v>
      </c>
      <c r="J181" s="532">
        <f t="shared" si="345"/>
        <v>3338033442.9696317</v>
      </c>
    </row>
    <row r="182" spans="1:10" x14ac:dyDescent="0.25">
      <c r="A182" s="344" t="s">
        <v>426</v>
      </c>
      <c r="B182" s="345"/>
      <c r="C182" s="346">
        <f>AVERAGEIF(E182:J182, "&lt;&gt;0")</f>
        <v>0.18255030704573233</v>
      </c>
      <c r="D182" s="493"/>
      <c r="E182" s="347">
        <f>IFERROR(E181/D181-1,0)</f>
        <v>0</v>
      </c>
      <c r="F182" s="347">
        <f t="shared" ref="F182" si="346">IFERROR(F181/E181-1,0)</f>
        <v>0.44700642403993895</v>
      </c>
      <c r="G182" s="347">
        <f t="shared" ref="G182" si="347">IFERROR(G181/F181-1,0)</f>
        <v>0.13836389052649056</v>
      </c>
      <c r="H182" s="347">
        <f t="shared" ref="H182" si="348">IFERROR(H181/G181-1,0)</f>
        <v>5.9199502429395867E-2</v>
      </c>
      <c r="I182" s="347">
        <f t="shared" ref="I182" si="349">IFERROR(I181/H181-1,0)</f>
        <v>0.11515150945523689</v>
      </c>
      <c r="J182" s="351">
        <f t="shared" ref="J182" si="350">IFERROR(J181/I181-1,0)</f>
        <v>0.15303020877759943</v>
      </c>
    </row>
    <row r="183" spans="1:10" ht="13.8" thickBot="1" x14ac:dyDescent="0.3">
      <c r="A183" s="271"/>
      <c r="B183" s="272"/>
      <c r="C183" s="273"/>
      <c r="D183" s="533"/>
      <c r="E183" s="533"/>
      <c r="F183" s="533"/>
      <c r="G183" s="533"/>
      <c r="H183" s="533"/>
      <c r="I183" s="533"/>
      <c r="J183" s="534"/>
    </row>
    <row r="184" spans="1:10" x14ac:dyDescent="0.25">
      <c r="A184" s="203" t="s">
        <v>70</v>
      </c>
      <c r="B184" s="197"/>
      <c r="C184" s="198"/>
      <c r="D184" s="535"/>
      <c r="E184" s="535"/>
      <c r="F184" s="535"/>
    </row>
    <row r="185" spans="1:10" ht="13.8" thickBot="1" x14ac:dyDescent="0.3">
      <c r="A185" s="196"/>
      <c r="B185" s="197"/>
      <c r="C185" s="198"/>
      <c r="D185" s="535"/>
      <c r="E185" s="535"/>
      <c r="F185" s="535"/>
    </row>
    <row r="186" spans="1:10" ht="12.75" customHeight="1" x14ac:dyDescent="0.25">
      <c r="A186" s="802"/>
      <c r="B186" s="803"/>
      <c r="C186" s="796" t="str">
        <f>C93</f>
        <v>BALANCE SHEET</v>
      </c>
      <c r="D186" s="783" t="str">
        <f>D93</f>
        <v>Abbas</v>
      </c>
      <c r="E186" s="783"/>
      <c r="F186" s="783"/>
      <c r="G186" s="783"/>
      <c r="H186" s="783"/>
      <c r="I186" s="783"/>
      <c r="J186" s="783"/>
    </row>
    <row r="187" spans="1:10" ht="12.75" customHeight="1" x14ac:dyDescent="0.25">
      <c r="A187" s="804"/>
      <c r="B187" s="805"/>
      <c r="C187" s="797"/>
      <c r="D187" s="784"/>
      <c r="E187" s="784"/>
      <c r="F187" s="784"/>
      <c r="G187" s="784"/>
      <c r="H187" s="784"/>
      <c r="I187" s="784"/>
      <c r="J187" s="784"/>
    </row>
    <row r="188" spans="1:10" ht="17.25" customHeight="1" x14ac:dyDescent="0.25">
      <c r="A188" s="798" t="str">
        <f>A95</f>
        <v>EGP</v>
      </c>
      <c r="B188" s="799"/>
      <c r="C188" s="809" t="str">
        <f t="shared" ref="C188:J188" si="351">C95</f>
        <v>Units</v>
      </c>
      <c r="D188" s="226">
        <f t="shared" si="351"/>
        <v>0</v>
      </c>
      <c r="E188" s="638">
        <f t="shared" si="351"/>
        <v>2014</v>
      </c>
      <c r="F188" s="638">
        <f t="shared" si="351"/>
        <v>2015</v>
      </c>
      <c r="G188" s="638">
        <f t="shared" si="351"/>
        <v>2016</v>
      </c>
      <c r="H188" s="638">
        <f t="shared" si="351"/>
        <v>2017</v>
      </c>
      <c r="I188" s="638">
        <f t="shared" si="351"/>
        <v>2018</v>
      </c>
      <c r="J188" s="698">
        <f t="shared" si="351"/>
        <v>2019</v>
      </c>
    </row>
    <row r="189" spans="1:10" ht="22.5" customHeight="1" thickBot="1" x14ac:dyDescent="0.3">
      <c r="A189" s="800"/>
      <c r="B189" s="801"/>
      <c r="C189" s="810"/>
      <c r="D189" s="359">
        <f t="shared" ref="D189:J189" si="352">$D$14</f>
        <v>0</v>
      </c>
      <c r="E189" s="699">
        <f t="shared" si="352"/>
        <v>0</v>
      </c>
      <c r="F189" s="699">
        <f t="shared" si="352"/>
        <v>0</v>
      </c>
      <c r="G189" s="699">
        <f t="shared" si="352"/>
        <v>0</v>
      </c>
      <c r="H189" s="699">
        <f t="shared" si="352"/>
        <v>0</v>
      </c>
      <c r="I189" s="699">
        <f t="shared" si="352"/>
        <v>0</v>
      </c>
      <c r="J189" s="700">
        <f t="shared" si="352"/>
        <v>0</v>
      </c>
    </row>
    <row r="190" spans="1:10" ht="17.399999999999999" x14ac:dyDescent="0.3">
      <c r="A190" s="269"/>
      <c r="B190" s="360"/>
      <c r="C190" s="361" t="s">
        <v>71</v>
      </c>
      <c r="D190" s="505"/>
      <c r="E190" s="506"/>
      <c r="F190" s="506"/>
      <c r="J190" s="501"/>
    </row>
    <row r="191" spans="1:10" x14ac:dyDescent="0.25">
      <c r="A191" s="246" t="s">
        <v>72</v>
      </c>
      <c r="B191" s="247"/>
      <c r="C191" s="248"/>
      <c r="D191" s="494"/>
      <c r="E191" s="494">
        <f>'Client Input'!B68</f>
        <v>0</v>
      </c>
      <c r="F191" s="494">
        <f>'Client Input'!C68</f>
        <v>0</v>
      </c>
      <c r="G191" s="494">
        <f>'Client Input'!D68</f>
        <v>92810674</v>
      </c>
      <c r="H191" s="494">
        <f>'Client Input'!E68</f>
        <v>0</v>
      </c>
      <c r="I191" s="494">
        <f>'Client Input'!F68</f>
        <v>0</v>
      </c>
      <c r="J191" s="494">
        <f>'Client Input'!G68</f>
        <v>16820612</v>
      </c>
    </row>
    <row r="192" spans="1:10" x14ac:dyDescent="0.25">
      <c r="A192" s="344" t="s">
        <v>426</v>
      </c>
      <c r="B192" s="345"/>
      <c r="C192" s="346">
        <f>AVERAGEIF(E192:J192, "&lt;&gt;0")</f>
        <v>-1</v>
      </c>
      <c r="D192" s="493"/>
      <c r="E192" s="347">
        <f>IFERROR(E191/D191-1,0)</f>
        <v>0</v>
      </c>
      <c r="F192" s="347">
        <f t="shared" ref="F192" si="353">IFERROR(F191/E191-1,0)</f>
        <v>0</v>
      </c>
      <c r="G192" s="347">
        <f t="shared" ref="G192" si="354">IFERROR(G191/F191-1,0)</f>
        <v>0</v>
      </c>
      <c r="H192" s="347">
        <f t="shared" ref="H192" si="355">IFERROR(H191/G191-1,0)</f>
        <v>-1</v>
      </c>
      <c r="I192" s="347">
        <f t="shared" ref="I192" si="356">IFERROR(I191/H191-1,0)</f>
        <v>0</v>
      </c>
      <c r="J192" s="351">
        <f t="shared" ref="J192" si="357">IFERROR(J191/I191-1,0)</f>
        <v>0</v>
      </c>
    </row>
    <row r="193" spans="1:101" s="195" customFormat="1" x14ac:dyDescent="0.25">
      <c r="A193" s="246" t="s">
        <v>73</v>
      </c>
      <c r="B193" s="247"/>
      <c r="C193" s="248"/>
      <c r="D193" s="494"/>
      <c r="E193" s="494">
        <f>'Client Input'!B69</f>
        <v>13448647</v>
      </c>
      <c r="F193" s="494">
        <f>'Client Input'!C69</f>
        <v>13844474</v>
      </c>
      <c r="G193" s="494">
        <f>'Client Input'!D69</f>
        <v>7575014</v>
      </c>
      <c r="H193" s="494">
        <f>'Client Input'!E69</f>
        <v>39880080</v>
      </c>
      <c r="I193" s="494">
        <f>'Client Input'!F69</f>
        <v>39880080</v>
      </c>
      <c r="J193" s="494">
        <f>'Client Input'!G69</f>
        <v>39880080</v>
      </c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4"/>
      <c r="AT193" s="194"/>
      <c r="AU193" s="194"/>
      <c r="AV193" s="194"/>
      <c r="AW193" s="194"/>
      <c r="AX193" s="194"/>
      <c r="AY193" s="194"/>
      <c r="AZ193" s="194"/>
      <c r="BA193" s="194"/>
      <c r="BB193" s="194"/>
      <c r="BC193" s="194"/>
      <c r="BD193" s="194"/>
      <c r="BE193" s="194"/>
      <c r="BF193" s="194"/>
      <c r="BG193" s="194"/>
      <c r="BH193" s="194"/>
      <c r="BI193" s="194"/>
      <c r="BJ193" s="194"/>
      <c r="BK193" s="194"/>
      <c r="BL193" s="194"/>
      <c r="BM193" s="194"/>
      <c r="BN193" s="194"/>
      <c r="BO193" s="194"/>
      <c r="BP193" s="194"/>
      <c r="BQ193" s="194"/>
      <c r="BR193" s="194"/>
      <c r="BS193" s="194"/>
      <c r="BT193" s="194"/>
      <c r="BU193" s="194"/>
      <c r="BV193" s="194"/>
      <c r="BW193" s="194"/>
      <c r="BX193" s="194"/>
      <c r="BY193" s="194"/>
      <c r="BZ193" s="194"/>
      <c r="CA193" s="194"/>
      <c r="CB193" s="194"/>
      <c r="CC193" s="194"/>
      <c r="CD193" s="194"/>
      <c r="CE193" s="194"/>
      <c r="CF193" s="194"/>
      <c r="CG193" s="194"/>
      <c r="CH193" s="194"/>
      <c r="CI193" s="194"/>
      <c r="CJ193" s="194"/>
      <c r="CK193" s="194"/>
      <c r="CL193" s="194"/>
      <c r="CM193" s="194"/>
      <c r="CN193" s="194"/>
      <c r="CO193" s="194"/>
      <c r="CP193" s="194"/>
      <c r="CQ193" s="194"/>
      <c r="CR193" s="194"/>
      <c r="CS193" s="194"/>
      <c r="CT193" s="194"/>
      <c r="CU193" s="194"/>
      <c r="CV193" s="194"/>
      <c r="CW193" s="194"/>
    </row>
    <row r="194" spans="1:101" s="195" customFormat="1" x14ac:dyDescent="0.25">
      <c r="A194" s="344" t="s">
        <v>426</v>
      </c>
      <c r="B194" s="345"/>
      <c r="C194" s="346">
        <f>AVERAGEIF(E194:J194, "&lt;&gt;0")</f>
        <v>1.2804235010189735</v>
      </c>
      <c r="D194" s="493"/>
      <c r="E194" s="347">
        <f>IFERROR(E193/D193-1,0)</f>
        <v>0</v>
      </c>
      <c r="F194" s="347">
        <f t="shared" ref="F194" si="358">IFERROR(F193/E193-1,0)</f>
        <v>2.9432477482679076E-2</v>
      </c>
      <c r="G194" s="347">
        <f t="shared" ref="G194" si="359">IFERROR(G193/F193-1,0)</f>
        <v>-0.45284927401358843</v>
      </c>
      <c r="H194" s="347">
        <f t="shared" ref="H194" si="360">IFERROR(H193/G193-1,0)</f>
        <v>4.2646872995878295</v>
      </c>
      <c r="I194" s="347">
        <f t="shared" ref="I194" si="361">IFERROR(I193/H193-1,0)</f>
        <v>0</v>
      </c>
      <c r="J194" s="351">
        <f t="shared" ref="J194" si="362">IFERROR(J193/I193-1,0)</f>
        <v>0</v>
      </c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4"/>
      <c r="AT194" s="194"/>
      <c r="AU194" s="194"/>
      <c r="AV194" s="194"/>
      <c r="AW194" s="194"/>
      <c r="AX194" s="194"/>
      <c r="AY194" s="194"/>
      <c r="AZ194" s="194"/>
      <c r="BA194" s="194"/>
      <c r="BB194" s="194"/>
      <c r="BC194" s="194"/>
      <c r="BD194" s="194"/>
      <c r="BE194" s="194"/>
      <c r="BF194" s="194"/>
      <c r="BG194" s="194"/>
      <c r="BH194" s="194"/>
      <c r="BI194" s="194"/>
      <c r="BJ194" s="194"/>
      <c r="BK194" s="194"/>
      <c r="BL194" s="194"/>
      <c r="BM194" s="194"/>
      <c r="BN194" s="194"/>
      <c r="BO194" s="194"/>
      <c r="BP194" s="194"/>
      <c r="BQ194" s="194"/>
      <c r="BR194" s="194"/>
      <c r="BS194" s="194"/>
      <c r="BT194" s="194"/>
      <c r="BU194" s="194"/>
      <c r="BV194" s="194"/>
      <c r="BW194" s="194"/>
      <c r="BX194" s="194"/>
      <c r="BY194" s="194"/>
      <c r="BZ194" s="194"/>
      <c r="CA194" s="194"/>
      <c r="CB194" s="194"/>
      <c r="CC194" s="194"/>
      <c r="CD194" s="194"/>
      <c r="CE194" s="194"/>
      <c r="CF194" s="194"/>
      <c r="CG194" s="194"/>
      <c r="CH194" s="194"/>
      <c r="CI194" s="194"/>
      <c r="CJ194" s="194"/>
      <c r="CK194" s="194"/>
      <c r="CL194" s="194"/>
      <c r="CM194" s="194"/>
      <c r="CN194" s="194"/>
      <c r="CO194" s="194"/>
      <c r="CP194" s="194"/>
      <c r="CQ194" s="194"/>
      <c r="CR194" s="194"/>
      <c r="CS194" s="194"/>
      <c r="CT194" s="194"/>
      <c r="CU194" s="194"/>
      <c r="CV194" s="194"/>
      <c r="CW194" s="194"/>
    </row>
    <row r="195" spans="1:101" x14ac:dyDescent="0.25">
      <c r="A195" s="246" t="s">
        <v>74</v>
      </c>
      <c r="B195" s="247"/>
      <c r="C195" s="248"/>
      <c r="D195" s="494">
        <v>0</v>
      </c>
      <c r="E195" s="494">
        <f>'Client Input'!B70</f>
        <v>0</v>
      </c>
      <c r="F195" s="494">
        <f>'Client Input'!C70</f>
        <v>0</v>
      </c>
      <c r="G195" s="494">
        <f>'Client Input'!D70</f>
        <v>0</v>
      </c>
      <c r="H195" s="494">
        <f>'Client Input'!E70</f>
        <v>0</v>
      </c>
      <c r="I195" s="494">
        <f>'Client Input'!F70</f>
        <v>0</v>
      </c>
      <c r="J195" s="494">
        <f>'Client Input'!G70</f>
        <v>0</v>
      </c>
    </row>
    <row r="196" spans="1:101" x14ac:dyDescent="0.25">
      <c r="A196" s="344" t="s">
        <v>426</v>
      </c>
      <c r="B196" s="345"/>
      <c r="C196" s="346" t="e">
        <f>AVERAGEIF(E196:J196, "&lt;&gt;0")</f>
        <v>#DIV/0!</v>
      </c>
      <c r="D196" s="493"/>
      <c r="E196" s="347">
        <f>IFERROR(E195/D195-1,0)</f>
        <v>0</v>
      </c>
      <c r="F196" s="347">
        <f t="shared" ref="F196" si="363">IFERROR(F195/E195-1,0)</f>
        <v>0</v>
      </c>
      <c r="G196" s="347">
        <f t="shared" ref="G196" si="364">IFERROR(G195/F195-1,0)</f>
        <v>0</v>
      </c>
      <c r="H196" s="347">
        <f t="shared" ref="H196" si="365">IFERROR(H195/G195-1,0)</f>
        <v>0</v>
      </c>
      <c r="I196" s="347">
        <f t="shared" ref="I196" si="366">IFERROR(I195/H195-1,0)</f>
        <v>0</v>
      </c>
      <c r="J196" s="351">
        <f t="shared" ref="J196" si="367">IFERROR(J195/I195-1,0)</f>
        <v>0</v>
      </c>
    </row>
    <row r="197" spans="1:101" x14ac:dyDescent="0.25">
      <c r="A197" s="246" t="s">
        <v>75</v>
      </c>
      <c r="B197" s="247"/>
      <c r="C197" s="248"/>
      <c r="D197" s="494">
        <v>0</v>
      </c>
      <c r="E197" s="494">
        <f>'Client Input'!B71</f>
        <v>0</v>
      </c>
      <c r="F197" s="494">
        <f>'Client Input'!C71</f>
        <v>0</v>
      </c>
      <c r="G197" s="494">
        <f>'Client Input'!D71</f>
        <v>0</v>
      </c>
      <c r="H197" s="494">
        <f>'Client Input'!E71</f>
        <v>0</v>
      </c>
      <c r="I197" s="494">
        <f>'Client Input'!F71</f>
        <v>0</v>
      </c>
      <c r="J197" s="494">
        <f>'Client Input'!G71</f>
        <v>0</v>
      </c>
    </row>
    <row r="198" spans="1:101" x14ac:dyDescent="0.25">
      <c r="A198" s="344" t="s">
        <v>426</v>
      </c>
      <c r="B198" s="345"/>
      <c r="C198" s="346" t="e">
        <f>AVERAGEIF(E198:J198, "&lt;&gt;0")</f>
        <v>#DIV/0!</v>
      </c>
      <c r="D198" s="493"/>
      <c r="E198" s="347">
        <f>IFERROR(E197/D197-1,0)</f>
        <v>0</v>
      </c>
      <c r="F198" s="347">
        <f t="shared" ref="F198" si="368">IFERROR(F197/E197-1,0)</f>
        <v>0</v>
      </c>
      <c r="G198" s="347">
        <f t="shared" ref="G198" si="369">IFERROR(G197/F197-1,0)</f>
        <v>0</v>
      </c>
      <c r="H198" s="347">
        <f t="shared" ref="H198" si="370">IFERROR(H197/G197-1,0)</f>
        <v>0</v>
      </c>
      <c r="I198" s="347">
        <f t="shared" ref="I198" si="371">IFERROR(I197/H197-1,0)</f>
        <v>0</v>
      </c>
      <c r="J198" s="351">
        <f t="shared" ref="J198" si="372">IFERROR(J197/I197-1,0)</f>
        <v>0</v>
      </c>
    </row>
    <row r="199" spans="1:101" x14ac:dyDescent="0.25">
      <c r="A199" s="792" t="s">
        <v>3096</v>
      </c>
      <c r="B199" s="793"/>
      <c r="C199" s="794"/>
      <c r="D199" s="494">
        <v>0</v>
      </c>
      <c r="E199" s="494">
        <f>'Client Input'!B72</f>
        <v>0</v>
      </c>
      <c r="F199" s="494">
        <f>'Client Input'!C72</f>
        <v>0</v>
      </c>
      <c r="G199" s="494">
        <f>'Client Input'!D72</f>
        <v>0</v>
      </c>
      <c r="H199" s="494">
        <f>'Client Input'!E72</f>
        <v>0</v>
      </c>
      <c r="I199" s="494">
        <f>'Client Input'!F72</f>
        <v>0</v>
      </c>
      <c r="J199" s="494">
        <f>'Client Input'!G72</f>
        <v>0</v>
      </c>
    </row>
    <row r="200" spans="1:101" x14ac:dyDescent="0.25">
      <c r="A200" s="344" t="s">
        <v>426</v>
      </c>
      <c r="B200" s="345"/>
      <c r="C200" s="346" t="e">
        <f>AVERAGEIF(E200:J200, "&lt;&gt;0")</f>
        <v>#DIV/0!</v>
      </c>
      <c r="D200" s="493"/>
      <c r="E200" s="347">
        <f>IFERROR(E199/D199-1,0)</f>
        <v>0</v>
      </c>
      <c r="F200" s="347">
        <f t="shared" ref="F200" si="373">IFERROR(F199/E199-1,0)</f>
        <v>0</v>
      </c>
      <c r="G200" s="347">
        <f t="shared" ref="G200" si="374">IFERROR(G199/F199-1,0)</f>
        <v>0</v>
      </c>
      <c r="H200" s="347">
        <f t="shared" ref="H200" si="375">IFERROR(H199/G199-1,0)</f>
        <v>0</v>
      </c>
      <c r="I200" s="347">
        <f t="shared" ref="I200" si="376">IFERROR(I199/H199-1,0)</f>
        <v>0</v>
      </c>
      <c r="J200" s="351">
        <f t="shared" ref="J200" si="377">IFERROR(J199/I199-1,0)</f>
        <v>0</v>
      </c>
    </row>
    <row r="201" spans="1:101" s="195" customFormat="1" x14ac:dyDescent="0.25">
      <c r="A201" s="792" t="s">
        <v>391</v>
      </c>
      <c r="B201" s="793"/>
      <c r="C201" s="794"/>
      <c r="D201" s="494"/>
      <c r="E201" s="494">
        <f>'Client Input'!B73</f>
        <v>81125008</v>
      </c>
      <c r="F201" s="494">
        <f>'Client Input'!C73</f>
        <v>55975575</v>
      </c>
      <c r="G201" s="494">
        <f>'Client Input'!D73</f>
        <v>69189768</v>
      </c>
      <c r="H201" s="494">
        <f>'Client Input'!E73</f>
        <v>51423877.723150685</v>
      </c>
      <c r="I201" s="494">
        <f>'Client Input'!F73</f>
        <v>56566265.495465763</v>
      </c>
      <c r="J201" s="494">
        <f>'Client Input'!G73</f>
        <v>65051205.319785625</v>
      </c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4"/>
      <c r="AL201" s="194"/>
      <c r="AM201" s="194"/>
      <c r="AN201" s="194"/>
      <c r="AO201" s="194"/>
      <c r="AP201" s="194"/>
      <c r="AQ201" s="194"/>
      <c r="AR201" s="194"/>
      <c r="AS201" s="194"/>
      <c r="AT201" s="194"/>
      <c r="AU201" s="194"/>
      <c r="AV201" s="194"/>
      <c r="AW201" s="194"/>
      <c r="AX201" s="194"/>
      <c r="AY201" s="194"/>
      <c r="AZ201" s="194"/>
      <c r="BA201" s="194"/>
      <c r="BB201" s="194"/>
      <c r="BC201" s="194"/>
      <c r="BD201" s="194"/>
      <c r="BE201" s="194"/>
      <c r="BF201" s="194"/>
      <c r="BG201" s="194"/>
      <c r="BH201" s="194"/>
      <c r="BI201" s="194"/>
      <c r="BJ201" s="194"/>
      <c r="BK201" s="194"/>
      <c r="BL201" s="194"/>
      <c r="BM201" s="194"/>
      <c r="BN201" s="194"/>
      <c r="BO201" s="194"/>
      <c r="BP201" s="194"/>
      <c r="BQ201" s="194"/>
      <c r="BR201" s="194"/>
      <c r="BS201" s="194"/>
      <c r="BT201" s="194"/>
      <c r="BU201" s="194"/>
      <c r="BV201" s="194"/>
      <c r="BW201" s="194"/>
      <c r="BX201" s="194"/>
      <c r="BY201" s="194"/>
      <c r="BZ201" s="194"/>
      <c r="CA201" s="194"/>
      <c r="CB201" s="194"/>
      <c r="CC201" s="194"/>
      <c r="CD201" s="194"/>
      <c r="CE201" s="194"/>
      <c r="CF201" s="194"/>
      <c r="CG201" s="194"/>
      <c r="CH201" s="194"/>
      <c r="CI201" s="194"/>
      <c r="CJ201" s="194"/>
      <c r="CK201" s="194"/>
      <c r="CL201" s="194"/>
      <c r="CM201" s="194"/>
      <c r="CN201" s="194"/>
      <c r="CO201" s="194"/>
      <c r="CP201" s="194"/>
      <c r="CQ201" s="194"/>
      <c r="CR201" s="194"/>
      <c r="CS201" s="194"/>
      <c r="CT201" s="194"/>
      <c r="CU201" s="194"/>
      <c r="CV201" s="194"/>
      <c r="CW201" s="194"/>
    </row>
    <row r="202" spans="1:101" s="195" customFormat="1" x14ac:dyDescent="0.25">
      <c r="A202" s="344" t="s">
        <v>426</v>
      </c>
      <c r="B202" s="345"/>
      <c r="C202" s="346">
        <f>AVERAGEIF(E202:J202, "&lt;&gt;0")</f>
        <v>-1.614163529814816E-2</v>
      </c>
      <c r="D202" s="493"/>
      <c r="E202" s="347">
        <f>IFERROR(E201/D201-1,0)</f>
        <v>0</v>
      </c>
      <c r="F202" s="347">
        <f t="shared" ref="F202" si="378">IFERROR(F201/E201-1,0)</f>
        <v>-0.31000838853538237</v>
      </c>
      <c r="G202" s="347">
        <f t="shared" ref="G202" si="379">IFERROR(G201/F201-1,0)</f>
        <v>0.23607069690664195</v>
      </c>
      <c r="H202" s="347">
        <f t="shared" ref="H202" si="380">IFERROR(H201/G201-1,0)</f>
        <v>-0.25677048486200038</v>
      </c>
      <c r="I202" s="347">
        <f t="shared" ref="I202" si="381">IFERROR(I201/H201-1,0)</f>
        <v>0.10000000000000009</v>
      </c>
      <c r="J202" s="351">
        <f t="shared" ref="J202" si="382">IFERROR(J201/I201-1,0)</f>
        <v>0.14999999999999991</v>
      </c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  <c r="AR202" s="194"/>
      <c r="AS202" s="194"/>
      <c r="AT202" s="194"/>
      <c r="AU202" s="194"/>
      <c r="AV202" s="194"/>
      <c r="AW202" s="194"/>
      <c r="AX202" s="194"/>
      <c r="AY202" s="194"/>
      <c r="AZ202" s="194"/>
      <c r="BA202" s="194"/>
      <c r="BB202" s="194"/>
      <c r="BC202" s="194"/>
      <c r="BD202" s="194"/>
      <c r="BE202" s="194"/>
      <c r="BF202" s="194"/>
      <c r="BG202" s="194"/>
      <c r="BH202" s="194"/>
      <c r="BI202" s="194"/>
      <c r="BJ202" s="194"/>
      <c r="BK202" s="194"/>
      <c r="BL202" s="194"/>
      <c r="BM202" s="194"/>
      <c r="BN202" s="194"/>
      <c r="BO202" s="194"/>
      <c r="BP202" s="194"/>
      <c r="BQ202" s="194"/>
      <c r="BR202" s="194"/>
      <c r="BS202" s="194"/>
      <c r="BT202" s="194"/>
      <c r="BU202" s="194"/>
      <c r="BV202" s="194"/>
      <c r="BW202" s="194"/>
      <c r="BX202" s="194"/>
      <c r="BY202" s="194"/>
      <c r="BZ202" s="194"/>
      <c r="CA202" s="194"/>
      <c r="CB202" s="194"/>
      <c r="CC202" s="194"/>
      <c r="CD202" s="194"/>
      <c r="CE202" s="194"/>
      <c r="CF202" s="194"/>
      <c r="CG202" s="194"/>
      <c r="CH202" s="194"/>
      <c r="CI202" s="194"/>
      <c r="CJ202" s="194"/>
      <c r="CK202" s="194"/>
      <c r="CL202" s="194"/>
      <c r="CM202" s="194"/>
      <c r="CN202" s="194"/>
      <c r="CO202" s="194"/>
      <c r="CP202" s="194"/>
      <c r="CQ202" s="194"/>
      <c r="CR202" s="194"/>
      <c r="CS202" s="194"/>
      <c r="CT202" s="194"/>
      <c r="CU202" s="194"/>
      <c r="CV202" s="194"/>
      <c r="CW202" s="194"/>
    </row>
    <row r="203" spans="1:101" s="195" customFormat="1" x14ac:dyDescent="0.25">
      <c r="A203" s="792" t="s">
        <v>392</v>
      </c>
      <c r="B203" s="793"/>
      <c r="C203" s="794"/>
      <c r="D203" s="494"/>
      <c r="E203" s="494">
        <f>'Client Input'!B74</f>
        <v>9907567</v>
      </c>
      <c r="F203" s="494">
        <f>'Client Input'!C74</f>
        <v>15922919</v>
      </c>
      <c r="G203" s="494">
        <f>'Client Input'!D74</f>
        <v>28548303</v>
      </c>
      <c r="H203" s="494">
        <f>'Client Input'!E74</f>
        <v>19778414.508904111</v>
      </c>
      <c r="I203" s="494">
        <f>'Client Input'!F74</f>
        <v>21756255.959794525</v>
      </c>
      <c r="J203" s="494">
        <f>'Client Input'!G74</f>
        <v>25019694.3537637</v>
      </c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4"/>
      <c r="BD203" s="194"/>
      <c r="BE203" s="194"/>
      <c r="BF203" s="194"/>
      <c r="BG203" s="194"/>
      <c r="BH203" s="194"/>
      <c r="BI203" s="194"/>
      <c r="BJ203" s="194"/>
      <c r="BK203" s="194"/>
      <c r="BL203" s="194"/>
      <c r="BM203" s="194"/>
      <c r="BN203" s="194"/>
      <c r="BO203" s="194"/>
      <c r="BP203" s="194"/>
      <c r="BQ203" s="194"/>
      <c r="BR203" s="194"/>
      <c r="BS203" s="194"/>
      <c r="BT203" s="194"/>
      <c r="BU203" s="194"/>
      <c r="BV203" s="194"/>
      <c r="BW203" s="194"/>
      <c r="BX203" s="194"/>
      <c r="BY203" s="194"/>
      <c r="BZ203" s="194"/>
      <c r="CA203" s="194"/>
      <c r="CB203" s="194"/>
      <c r="CC203" s="194"/>
      <c r="CD203" s="194"/>
      <c r="CE203" s="194"/>
      <c r="CF203" s="194"/>
      <c r="CG203" s="194"/>
      <c r="CH203" s="194"/>
      <c r="CI203" s="194"/>
      <c r="CJ203" s="194"/>
      <c r="CK203" s="194"/>
      <c r="CL203" s="194"/>
      <c r="CM203" s="194"/>
      <c r="CN203" s="194"/>
      <c r="CO203" s="194"/>
      <c r="CP203" s="194"/>
      <c r="CQ203" s="194"/>
      <c r="CR203" s="194"/>
      <c r="CS203" s="194"/>
      <c r="CT203" s="194"/>
      <c r="CU203" s="194"/>
      <c r="CV203" s="194"/>
      <c r="CW203" s="194"/>
    </row>
    <row r="204" spans="1:101" s="195" customFormat="1" x14ac:dyDescent="0.25">
      <c r="A204" s="344" t="s">
        <v>426</v>
      </c>
      <c r="B204" s="345"/>
      <c r="C204" s="346">
        <f>AVERAGEIF(E204:J204, "&lt;&gt;0")</f>
        <v>0.26857177621410805</v>
      </c>
      <c r="D204" s="493"/>
      <c r="E204" s="347">
        <f>IFERROR(E203/D203-1,0)</f>
        <v>0</v>
      </c>
      <c r="F204" s="347">
        <f t="shared" ref="F204" si="383">IFERROR(F203/E203-1,0)</f>
        <v>0.60714724412158905</v>
      </c>
      <c r="G204" s="347">
        <f t="shared" ref="G204" si="384">IFERROR(G203/F203-1,0)</f>
        <v>0.79290637602314007</v>
      </c>
      <c r="H204" s="347">
        <f t="shared" ref="H204" si="385">IFERROR(H203/G203-1,0)</f>
        <v>-0.30719473907418904</v>
      </c>
      <c r="I204" s="347">
        <f t="shared" ref="I204" si="386">IFERROR(I203/H203-1,0)</f>
        <v>0.10000000000000009</v>
      </c>
      <c r="J204" s="351">
        <f t="shared" ref="J204" si="387">IFERROR(J203/I203-1,0)</f>
        <v>0.14999999999999991</v>
      </c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4"/>
      <c r="BD204" s="194"/>
      <c r="BE204" s="194"/>
      <c r="BF204" s="194"/>
      <c r="BG204" s="194"/>
      <c r="BH204" s="194"/>
      <c r="BI204" s="194"/>
      <c r="BJ204" s="194"/>
      <c r="BK204" s="194"/>
      <c r="BL204" s="194"/>
      <c r="BM204" s="194"/>
      <c r="BN204" s="194"/>
      <c r="BO204" s="194"/>
      <c r="BP204" s="194"/>
      <c r="BQ204" s="194"/>
      <c r="BR204" s="194"/>
      <c r="BS204" s="194"/>
      <c r="BT204" s="194"/>
      <c r="BU204" s="194"/>
      <c r="BV204" s="194"/>
      <c r="BW204" s="194"/>
      <c r="BX204" s="194"/>
      <c r="BY204" s="194"/>
      <c r="BZ204" s="194"/>
      <c r="CA204" s="194"/>
      <c r="CB204" s="194"/>
      <c r="CC204" s="194"/>
      <c r="CD204" s="194"/>
      <c r="CE204" s="194"/>
      <c r="CF204" s="194"/>
      <c r="CG204" s="194"/>
      <c r="CH204" s="194"/>
      <c r="CI204" s="194"/>
      <c r="CJ204" s="194"/>
      <c r="CK204" s="194"/>
      <c r="CL204" s="194"/>
      <c r="CM204" s="194"/>
      <c r="CN204" s="194"/>
      <c r="CO204" s="194"/>
      <c r="CP204" s="194"/>
      <c r="CQ204" s="194"/>
      <c r="CR204" s="194"/>
      <c r="CS204" s="194"/>
      <c r="CT204" s="194"/>
      <c r="CU204" s="194"/>
      <c r="CV204" s="194"/>
      <c r="CW204" s="194"/>
    </row>
    <row r="205" spans="1:101" s="195" customFormat="1" x14ac:dyDescent="0.25">
      <c r="A205" s="795" t="s">
        <v>76</v>
      </c>
      <c r="B205" s="793"/>
      <c r="C205" s="794"/>
      <c r="D205" s="494"/>
      <c r="E205" s="494">
        <f>'Client Input'!B75</f>
        <v>42427357</v>
      </c>
      <c r="F205" s="494">
        <f>'Client Input'!C75</f>
        <v>45237756</v>
      </c>
      <c r="G205" s="494">
        <f>'Client Input'!D75</f>
        <v>54983463</v>
      </c>
      <c r="H205" s="494">
        <f>'Client Input'!E75</f>
        <v>55593122.410958908</v>
      </c>
      <c r="I205" s="494">
        <f>'Client Input'!F75</f>
        <v>61152434.652054809</v>
      </c>
      <c r="J205" s="494">
        <f>'Client Input'!G75</f>
        <v>69102251.156821921</v>
      </c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4"/>
      <c r="AT205" s="194"/>
      <c r="AU205" s="194"/>
      <c r="AV205" s="194"/>
      <c r="AW205" s="194"/>
      <c r="AX205" s="194"/>
      <c r="AY205" s="194"/>
      <c r="AZ205" s="194"/>
      <c r="BA205" s="194"/>
      <c r="BB205" s="194"/>
      <c r="BC205" s="194"/>
      <c r="BD205" s="194"/>
      <c r="BE205" s="194"/>
      <c r="BF205" s="194"/>
      <c r="BG205" s="194"/>
      <c r="BH205" s="194"/>
      <c r="BI205" s="194"/>
      <c r="BJ205" s="194"/>
      <c r="BK205" s="194"/>
      <c r="BL205" s="194"/>
      <c r="BM205" s="194"/>
      <c r="BN205" s="194"/>
      <c r="BO205" s="194"/>
      <c r="BP205" s="194"/>
      <c r="BQ205" s="194"/>
      <c r="BR205" s="194"/>
      <c r="BS205" s="194"/>
      <c r="BT205" s="194"/>
      <c r="BU205" s="194"/>
      <c r="BV205" s="194"/>
      <c r="BW205" s="194"/>
      <c r="BX205" s="194"/>
      <c r="BY205" s="194"/>
      <c r="BZ205" s="194"/>
      <c r="CA205" s="194"/>
      <c r="CB205" s="194"/>
      <c r="CC205" s="194"/>
      <c r="CD205" s="194"/>
      <c r="CE205" s="194"/>
      <c r="CF205" s="194"/>
      <c r="CG205" s="194"/>
      <c r="CH205" s="194"/>
      <c r="CI205" s="194"/>
      <c r="CJ205" s="194"/>
      <c r="CK205" s="194"/>
      <c r="CL205" s="194"/>
      <c r="CM205" s="194"/>
      <c r="CN205" s="194"/>
      <c r="CO205" s="194"/>
      <c r="CP205" s="194"/>
      <c r="CQ205" s="194"/>
      <c r="CR205" s="194"/>
      <c r="CS205" s="194"/>
      <c r="CT205" s="194"/>
      <c r="CU205" s="194"/>
      <c r="CV205" s="194"/>
      <c r="CW205" s="194"/>
    </row>
    <row r="206" spans="1:101" s="195" customFormat="1" x14ac:dyDescent="0.25">
      <c r="A206" s="344" t="s">
        <v>426</v>
      </c>
      <c r="B206" s="345"/>
      <c r="C206" s="346">
        <f>AVERAGEIF(E206:J206, "&lt;&gt;0")</f>
        <v>0.10455226802205426</v>
      </c>
      <c r="D206" s="493"/>
      <c r="E206" s="347">
        <f>IFERROR(E205/D205-1,0)</f>
        <v>0</v>
      </c>
      <c r="F206" s="347">
        <f t="shared" ref="F206" si="388">IFERROR(F205/E205-1,0)</f>
        <v>6.6240256257301233E-2</v>
      </c>
      <c r="G206" s="347">
        <f t="shared" ref="G206" si="389">IFERROR(G205/F205-1,0)</f>
        <v>0.21543303341571574</v>
      </c>
      <c r="H206" s="347">
        <f t="shared" ref="H206" si="390">IFERROR(H205/G205-1,0)</f>
        <v>1.108805043725436E-2</v>
      </c>
      <c r="I206" s="347">
        <f t="shared" ref="I206" si="391">IFERROR(I205/H205-1,0)</f>
        <v>0.10000000000000009</v>
      </c>
      <c r="J206" s="351">
        <f t="shared" ref="J206" si="392">IFERROR(J205/I205-1,0)</f>
        <v>0.12999999999999989</v>
      </c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4"/>
      <c r="AX206" s="194"/>
      <c r="AY206" s="194"/>
      <c r="AZ206" s="194"/>
      <c r="BA206" s="194"/>
      <c r="BB206" s="194"/>
      <c r="BC206" s="194"/>
      <c r="BD206" s="194"/>
      <c r="BE206" s="194"/>
      <c r="BF206" s="194"/>
      <c r="BG206" s="194"/>
      <c r="BH206" s="194"/>
      <c r="BI206" s="194"/>
      <c r="BJ206" s="194"/>
      <c r="BK206" s="194"/>
      <c r="BL206" s="194"/>
      <c r="BM206" s="194"/>
      <c r="BN206" s="194"/>
      <c r="BO206" s="194"/>
      <c r="BP206" s="194"/>
      <c r="BQ206" s="194"/>
      <c r="BR206" s="194"/>
      <c r="BS206" s="194"/>
      <c r="BT206" s="194"/>
      <c r="BU206" s="194"/>
      <c r="BV206" s="194"/>
      <c r="BW206" s="194"/>
      <c r="BX206" s="194"/>
      <c r="BY206" s="194"/>
      <c r="BZ206" s="194"/>
      <c r="CA206" s="194"/>
      <c r="CB206" s="194"/>
      <c r="CC206" s="194"/>
      <c r="CD206" s="194"/>
      <c r="CE206" s="194"/>
      <c r="CF206" s="194"/>
      <c r="CG206" s="194"/>
      <c r="CH206" s="194"/>
      <c r="CI206" s="194"/>
      <c r="CJ206" s="194"/>
      <c r="CK206" s="194"/>
      <c r="CL206" s="194"/>
      <c r="CM206" s="194"/>
      <c r="CN206" s="194"/>
      <c r="CO206" s="194"/>
      <c r="CP206" s="194"/>
      <c r="CQ206" s="194"/>
      <c r="CR206" s="194"/>
      <c r="CS206" s="194"/>
      <c r="CT206" s="194"/>
      <c r="CU206" s="194"/>
      <c r="CV206" s="194"/>
      <c r="CW206" s="194"/>
    </row>
    <row r="207" spans="1:101" s="195" customFormat="1" x14ac:dyDescent="0.25">
      <c r="A207" s="246" t="s">
        <v>77</v>
      </c>
      <c r="B207" s="247"/>
      <c r="C207" s="248"/>
      <c r="D207" s="494"/>
      <c r="E207" s="494">
        <f>'Client Input'!B76</f>
        <v>450980828</v>
      </c>
      <c r="F207" s="494">
        <f>'Client Input'!C76</f>
        <v>993519241</v>
      </c>
      <c r="G207" s="494">
        <f>'Client Input'!D76</f>
        <v>1184333117</v>
      </c>
      <c r="H207" s="494">
        <f>'Client Input'!E76</f>
        <v>909807067.40958905</v>
      </c>
      <c r="I207" s="494">
        <f>'Client Input'!F76</f>
        <v>1000787774.1505481</v>
      </c>
      <c r="J207" s="494">
        <f>'Client Input'!G76</f>
        <v>1150905940.2731302</v>
      </c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4"/>
      <c r="BD207" s="194"/>
      <c r="BE207" s="194"/>
      <c r="BF207" s="194"/>
      <c r="BG207" s="194"/>
      <c r="BH207" s="194"/>
      <c r="BI207" s="194"/>
      <c r="BJ207" s="194"/>
      <c r="BK207" s="194"/>
      <c r="BL207" s="194"/>
      <c r="BM207" s="194"/>
      <c r="BN207" s="194"/>
      <c r="BO207" s="194"/>
      <c r="BP207" s="194"/>
      <c r="BQ207" s="194"/>
      <c r="BR207" s="194"/>
      <c r="BS207" s="194"/>
      <c r="BT207" s="194"/>
      <c r="BU207" s="194"/>
      <c r="BV207" s="194"/>
      <c r="BW207" s="194"/>
      <c r="BX207" s="194"/>
      <c r="BY207" s="194"/>
      <c r="BZ207" s="194"/>
      <c r="CA207" s="194"/>
      <c r="CB207" s="194"/>
      <c r="CC207" s="194"/>
      <c r="CD207" s="194"/>
      <c r="CE207" s="194"/>
      <c r="CF207" s="194"/>
      <c r="CG207" s="194"/>
      <c r="CH207" s="194"/>
      <c r="CI207" s="194"/>
      <c r="CJ207" s="194"/>
      <c r="CK207" s="194"/>
      <c r="CL207" s="194"/>
      <c r="CM207" s="194"/>
      <c r="CN207" s="194"/>
      <c r="CO207" s="194"/>
      <c r="CP207" s="194"/>
      <c r="CQ207" s="194"/>
      <c r="CR207" s="194"/>
      <c r="CS207" s="194"/>
      <c r="CT207" s="194"/>
      <c r="CU207" s="194"/>
      <c r="CV207" s="194"/>
      <c r="CW207" s="194"/>
    </row>
    <row r="208" spans="1:101" s="195" customFormat="1" x14ac:dyDescent="0.25">
      <c r="A208" s="344" t="s">
        <v>426</v>
      </c>
      <c r="B208" s="345"/>
      <c r="C208" s="346">
        <f>AVERAGEIF(E208:J208, "&lt;&gt;0")</f>
        <v>0.28265587128103248</v>
      </c>
      <c r="D208" s="493"/>
      <c r="E208" s="347">
        <f>IFERROR(E207/D207-1,0)</f>
        <v>0</v>
      </c>
      <c r="F208" s="347">
        <f t="shared" ref="F208" si="393">IFERROR(F207/E207-1,0)</f>
        <v>1.2030187966216603</v>
      </c>
      <c r="G208" s="347">
        <f t="shared" ref="G208" si="394">IFERROR(G207/F207-1,0)</f>
        <v>0.19205856124934373</v>
      </c>
      <c r="H208" s="347">
        <f t="shared" ref="H208" si="395">IFERROR(H207/G207-1,0)</f>
        <v>-0.23179800146584173</v>
      </c>
      <c r="I208" s="347">
        <f t="shared" ref="I208" si="396">IFERROR(I207/H207-1,0)</f>
        <v>0.10000000000000009</v>
      </c>
      <c r="J208" s="351">
        <f t="shared" ref="J208" si="397">IFERROR(J207/I207-1,0)</f>
        <v>0.14999999999999991</v>
      </c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4"/>
      <c r="AT208" s="194"/>
      <c r="AU208" s="194"/>
      <c r="AV208" s="194"/>
      <c r="AW208" s="194"/>
      <c r="AX208" s="194"/>
      <c r="AY208" s="194"/>
      <c r="AZ208" s="194"/>
      <c r="BA208" s="194"/>
      <c r="BB208" s="194"/>
      <c r="BC208" s="194"/>
      <c r="BD208" s="194"/>
      <c r="BE208" s="194"/>
      <c r="BF208" s="194"/>
      <c r="BG208" s="194"/>
      <c r="BH208" s="194"/>
      <c r="BI208" s="194"/>
      <c r="BJ208" s="194"/>
      <c r="BK208" s="194"/>
      <c r="BL208" s="194"/>
      <c r="BM208" s="194"/>
      <c r="BN208" s="194"/>
      <c r="BO208" s="194"/>
      <c r="BP208" s="194"/>
      <c r="BQ208" s="194"/>
      <c r="BR208" s="194"/>
      <c r="BS208" s="194"/>
      <c r="BT208" s="194"/>
      <c r="BU208" s="194"/>
      <c r="BV208" s="194"/>
      <c r="BW208" s="194"/>
      <c r="BX208" s="194"/>
      <c r="BY208" s="194"/>
      <c r="BZ208" s="194"/>
      <c r="CA208" s="194"/>
      <c r="CB208" s="194"/>
      <c r="CC208" s="194"/>
      <c r="CD208" s="194"/>
      <c r="CE208" s="194"/>
      <c r="CF208" s="194"/>
      <c r="CG208" s="194"/>
      <c r="CH208" s="194"/>
      <c r="CI208" s="194"/>
      <c r="CJ208" s="194"/>
      <c r="CK208" s="194"/>
      <c r="CL208" s="194"/>
      <c r="CM208" s="194"/>
      <c r="CN208" s="194"/>
      <c r="CO208" s="194"/>
      <c r="CP208" s="194"/>
      <c r="CQ208" s="194"/>
      <c r="CR208" s="194"/>
      <c r="CS208" s="194"/>
      <c r="CT208" s="194"/>
      <c r="CU208" s="194"/>
      <c r="CV208" s="194"/>
      <c r="CW208" s="194"/>
    </row>
    <row r="209" spans="1:101" s="195" customFormat="1" x14ac:dyDescent="0.25">
      <c r="A209" s="246" t="s">
        <v>78</v>
      </c>
      <c r="B209" s="247"/>
      <c r="C209" s="248"/>
      <c r="D209" s="494"/>
      <c r="E209" s="494">
        <f>'Client Input'!B77</f>
        <v>47959847</v>
      </c>
      <c r="F209" s="494">
        <f>'Client Input'!C77</f>
        <v>78620762</v>
      </c>
      <c r="G209" s="494">
        <f>'Client Input'!D77</f>
        <v>78626668</v>
      </c>
      <c r="H209" s="494">
        <f>'Client Input'!E77</f>
        <v>0</v>
      </c>
      <c r="I209" s="494">
        <f>'Client Input'!F77</f>
        <v>0</v>
      </c>
      <c r="J209" s="494">
        <f>'Client Input'!G77</f>
        <v>0</v>
      </c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4"/>
      <c r="AT209" s="194"/>
      <c r="AU209" s="194"/>
      <c r="AV209" s="194"/>
      <c r="AW209" s="194"/>
      <c r="AX209" s="194"/>
      <c r="AY209" s="194"/>
      <c r="AZ209" s="194"/>
      <c r="BA209" s="194"/>
      <c r="BB209" s="194"/>
      <c r="BC209" s="194"/>
      <c r="BD209" s="194"/>
      <c r="BE209" s="194"/>
      <c r="BF209" s="194"/>
      <c r="BG209" s="194"/>
      <c r="BH209" s="194"/>
      <c r="BI209" s="194"/>
      <c r="BJ209" s="194"/>
      <c r="BK209" s="194"/>
      <c r="BL209" s="194"/>
      <c r="BM209" s="194"/>
      <c r="BN209" s="194"/>
      <c r="BO209" s="194"/>
      <c r="BP209" s="194"/>
      <c r="BQ209" s="194"/>
      <c r="BR209" s="194"/>
      <c r="BS209" s="194"/>
      <c r="BT209" s="194"/>
      <c r="BU209" s="194"/>
      <c r="BV209" s="194"/>
      <c r="BW209" s="194"/>
      <c r="BX209" s="194"/>
      <c r="BY209" s="194"/>
      <c r="BZ209" s="194"/>
      <c r="CA209" s="194"/>
      <c r="CB209" s="194"/>
      <c r="CC209" s="194"/>
      <c r="CD209" s="194"/>
      <c r="CE209" s="194"/>
      <c r="CF209" s="194"/>
      <c r="CG209" s="194"/>
      <c r="CH209" s="194"/>
      <c r="CI209" s="194"/>
      <c r="CJ209" s="194"/>
      <c r="CK209" s="194"/>
      <c r="CL209" s="194"/>
      <c r="CM209" s="194"/>
      <c r="CN209" s="194"/>
      <c r="CO209" s="194"/>
      <c r="CP209" s="194"/>
      <c r="CQ209" s="194"/>
      <c r="CR209" s="194"/>
      <c r="CS209" s="194"/>
      <c r="CT209" s="194"/>
      <c r="CU209" s="194"/>
      <c r="CV209" s="194"/>
      <c r="CW209" s="194"/>
    </row>
    <row r="210" spans="1:101" s="195" customFormat="1" x14ac:dyDescent="0.25">
      <c r="A210" s="344" t="s">
        <v>426</v>
      </c>
      <c r="B210" s="345"/>
      <c r="C210" s="346">
        <f>AVERAGEIF(E210:J210, "&lt;&gt;0")</f>
        <v>-0.12020700880046949</v>
      </c>
      <c r="D210" s="493"/>
      <c r="E210" s="347">
        <f>IFERROR(E209/D209-1,0)</f>
        <v>0</v>
      </c>
      <c r="F210" s="347">
        <f t="shared" ref="F210" si="398">IFERROR(F209/E209-1,0)</f>
        <v>0.63930385349227659</v>
      </c>
      <c r="G210" s="347">
        <f t="shared" ref="G210" si="399">IFERROR(G209/F209-1,0)</f>
        <v>7.5120106314940926E-5</v>
      </c>
      <c r="H210" s="347">
        <f t="shared" ref="H210" si="400">IFERROR(H209/G209-1,0)</f>
        <v>-1</v>
      </c>
      <c r="I210" s="347">
        <f t="shared" ref="I210" si="401">IFERROR(I209/H209-1,0)</f>
        <v>0</v>
      </c>
      <c r="J210" s="351">
        <f t="shared" ref="J210" si="402">IFERROR(J209/I209-1,0)</f>
        <v>0</v>
      </c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4"/>
      <c r="AT210" s="194"/>
      <c r="AU210" s="194"/>
      <c r="AV210" s="194"/>
      <c r="AW210" s="194"/>
      <c r="AX210" s="194"/>
      <c r="AY210" s="194"/>
      <c r="AZ210" s="194"/>
      <c r="BA210" s="194"/>
      <c r="BB210" s="194"/>
      <c r="BC210" s="194"/>
      <c r="BD210" s="194"/>
      <c r="BE210" s="194"/>
      <c r="BF210" s="194"/>
      <c r="BG210" s="194"/>
      <c r="BH210" s="194"/>
      <c r="BI210" s="194"/>
      <c r="BJ210" s="194"/>
      <c r="BK210" s="194"/>
      <c r="BL210" s="194"/>
      <c r="BM210" s="194"/>
      <c r="BN210" s="194"/>
      <c r="BO210" s="194"/>
      <c r="BP210" s="194"/>
      <c r="BQ210" s="194"/>
      <c r="BR210" s="194"/>
      <c r="BS210" s="194"/>
      <c r="BT210" s="194"/>
      <c r="BU210" s="194"/>
      <c r="BV210" s="194"/>
      <c r="BW210" s="194"/>
      <c r="BX210" s="194"/>
      <c r="BY210" s="194"/>
      <c r="BZ210" s="194"/>
      <c r="CA210" s="194"/>
      <c r="CB210" s="194"/>
      <c r="CC210" s="194"/>
      <c r="CD210" s="194"/>
      <c r="CE210" s="194"/>
      <c r="CF210" s="194"/>
      <c r="CG210" s="194"/>
      <c r="CH210" s="194"/>
      <c r="CI210" s="194"/>
      <c r="CJ210" s="194"/>
      <c r="CK210" s="194"/>
      <c r="CL210" s="194"/>
      <c r="CM210" s="194"/>
      <c r="CN210" s="194"/>
      <c r="CO210" s="194"/>
      <c r="CP210" s="194"/>
      <c r="CQ210" s="194"/>
      <c r="CR210" s="194"/>
      <c r="CS210" s="194"/>
      <c r="CT210" s="194"/>
      <c r="CU210" s="194"/>
      <c r="CV210" s="194"/>
      <c r="CW210" s="194"/>
    </row>
    <row r="211" spans="1:101" s="195" customFormat="1" x14ac:dyDescent="0.25">
      <c r="A211" s="246" t="s">
        <v>79</v>
      </c>
      <c r="B211" s="247"/>
      <c r="C211" s="248"/>
      <c r="D211" s="494">
        <v>0</v>
      </c>
      <c r="E211" s="494">
        <f>'Client Input'!B78</f>
        <v>0</v>
      </c>
      <c r="F211" s="494">
        <f>'Client Input'!C78</f>
        <v>0</v>
      </c>
      <c r="G211" s="494">
        <f>'Client Input'!D78</f>
        <v>0</v>
      </c>
      <c r="H211" s="494">
        <f>'Client Input'!E78</f>
        <v>0</v>
      </c>
      <c r="I211" s="494">
        <f>'Client Input'!F78</f>
        <v>0</v>
      </c>
      <c r="J211" s="494">
        <f>'Client Input'!G78</f>
        <v>0</v>
      </c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4"/>
      <c r="BD211" s="194"/>
      <c r="BE211" s="194"/>
      <c r="BF211" s="194"/>
      <c r="BG211" s="194"/>
      <c r="BH211" s="194"/>
      <c r="BI211" s="194"/>
      <c r="BJ211" s="194"/>
      <c r="BK211" s="194"/>
      <c r="BL211" s="194"/>
      <c r="BM211" s="194"/>
      <c r="BN211" s="194"/>
      <c r="BO211" s="194"/>
      <c r="BP211" s="194"/>
      <c r="BQ211" s="194"/>
      <c r="BR211" s="194"/>
      <c r="BS211" s="194"/>
      <c r="BT211" s="194"/>
      <c r="BU211" s="194"/>
      <c r="BV211" s="194"/>
      <c r="BW211" s="194"/>
      <c r="BX211" s="194"/>
      <c r="BY211" s="194"/>
      <c r="BZ211" s="194"/>
      <c r="CA211" s="194"/>
      <c r="CB211" s="194"/>
      <c r="CC211" s="194"/>
      <c r="CD211" s="194"/>
      <c r="CE211" s="194"/>
      <c r="CF211" s="194"/>
      <c r="CG211" s="194"/>
      <c r="CH211" s="194"/>
      <c r="CI211" s="194"/>
      <c r="CJ211" s="194"/>
      <c r="CK211" s="194"/>
      <c r="CL211" s="194"/>
      <c r="CM211" s="194"/>
      <c r="CN211" s="194"/>
      <c r="CO211" s="194"/>
      <c r="CP211" s="194"/>
      <c r="CQ211" s="194"/>
      <c r="CR211" s="194"/>
      <c r="CS211" s="194"/>
      <c r="CT211" s="194"/>
      <c r="CU211" s="194"/>
      <c r="CV211" s="194"/>
      <c r="CW211" s="194"/>
    </row>
    <row r="212" spans="1:101" s="195" customFormat="1" x14ac:dyDescent="0.25">
      <c r="A212" s="344" t="s">
        <v>426</v>
      </c>
      <c r="B212" s="345"/>
      <c r="C212" s="346" t="e">
        <f>AVERAGEIF(E212:J212, "&lt;&gt;0")</f>
        <v>#DIV/0!</v>
      </c>
      <c r="D212" s="493"/>
      <c r="E212" s="347">
        <f>IFERROR(E211/D211-1,0)</f>
        <v>0</v>
      </c>
      <c r="F212" s="347">
        <f t="shared" ref="F212" si="403">IFERROR(F211/E211-1,0)</f>
        <v>0</v>
      </c>
      <c r="G212" s="347">
        <f t="shared" ref="G212" si="404">IFERROR(G211/F211-1,0)</f>
        <v>0</v>
      </c>
      <c r="H212" s="347">
        <f t="shared" ref="H212" si="405">IFERROR(H211/G211-1,0)</f>
        <v>0</v>
      </c>
      <c r="I212" s="347">
        <f t="shared" ref="I212" si="406">IFERROR(I211/H211-1,0)</f>
        <v>0</v>
      </c>
      <c r="J212" s="351">
        <f t="shared" ref="J212" si="407">IFERROR(J211/I211-1,0)</f>
        <v>0</v>
      </c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4"/>
      <c r="BD212" s="194"/>
      <c r="BE212" s="194"/>
      <c r="BF212" s="194"/>
      <c r="BG212" s="194"/>
      <c r="BH212" s="194"/>
      <c r="BI212" s="194"/>
      <c r="BJ212" s="194"/>
      <c r="BK212" s="194"/>
      <c r="BL212" s="194"/>
      <c r="BM212" s="194"/>
      <c r="BN212" s="194"/>
      <c r="BO212" s="194"/>
      <c r="BP212" s="194"/>
      <c r="BQ212" s="194"/>
      <c r="BR212" s="194"/>
      <c r="BS212" s="194"/>
      <c r="BT212" s="194"/>
      <c r="BU212" s="194"/>
      <c r="BV212" s="194"/>
      <c r="BW212" s="194"/>
      <c r="BX212" s="194"/>
      <c r="BY212" s="194"/>
      <c r="BZ212" s="194"/>
      <c r="CA212" s="194"/>
      <c r="CB212" s="194"/>
      <c r="CC212" s="194"/>
      <c r="CD212" s="194"/>
      <c r="CE212" s="194"/>
      <c r="CF212" s="194"/>
      <c r="CG212" s="194"/>
      <c r="CH212" s="194"/>
      <c r="CI212" s="194"/>
      <c r="CJ212" s="194"/>
      <c r="CK212" s="194"/>
      <c r="CL212" s="194"/>
      <c r="CM212" s="194"/>
      <c r="CN212" s="194"/>
      <c r="CO212" s="194"/>
      <c r="CP212" s="194"/>
      <c r="CQ212" s="194"/>
      <c r="CR212" s="194"/>
      <c r="CS212" s="194"/>
      <c r="CT212" s="194"/>
      <c r="CU212" s="194"/>
      <c r="CV212" s="194"/>
      <c r="CW212" s="194"/>
    </row>
    <row r="213" spans="1:101" s="195" customFormat="1" x14ac:dyDescent="0.25">
      <c r="A213" s="246" t="s">
        <v>80</v>
      </c>
      <c r="B213" s="247"/>
      <c r="C213" s="248"/>
      <c r="D213" s="494"/>
      <c r="E213" s="494">
        <f>'Client Input'!B79</f>
        <v>0</v>
      </c>
      <c r="F213" s="494">
        <f>'Client Input'!C79</f>
        <v>0</v>
      </c>
      <c r="G213" s="494">
        <f>'Client Input'!D79</f>
        <v>0</v>
      </c>
      <c r="H213" s="494">
        <f>'Client Input'!E79</f>
        <v>0</v>
      </c>
      <c r="I213" s="494">
        <f>'Client Input'!F79</f>
        <v>0</v>
      </c>
      <c r="J213" s="494">
        <f>'Client Input'!G79</f>
        <v>0</v>
      </c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194"/>
      <c r="AT213" s="194"/>
      <c r="AU213" s="194"/>
      <c r="AV213" s="194"/>
      <c r="AW213" s="194"/>
      <c r="AX213" s="194"/>
      <c r="AY213" s="194"/>
      <c r="AZ213" s="194"/>
      <c r="BA213" s="194"/>
      <c r="BB213" s="194"/>
      <c r="BC213" s="194"/>
      <c r="BD213" s="194"/>
      <c r="BE213" s="194"/>
      <c r="BF213" s="194"/>
      <c r="BG213" s="194"/>
      <c r="BH213" s="194"/>
      <c r="BI213" s="194"/>
      <c r="BJ213" s="194"/>
      <c r="BK213" s="194"/>
      <c r="BL213" s="194"/>
      <c r="BM213" s="194"/>
      <c r="BN213" s="194"/>
      <c r="BO213" s="194"/>
      <c r="BP213" s="194"/>
      <c r="BQ213" s="194"/>
      <c r="BR213" s="194"/>
      <c r="BS213" s="194"/>
      <c r="BT213" s="194"/>
      <c r="BU213" s="194"/>
      <c r="BV213" s="194"/>
      <c r="BW213" s="194"/>
      <c r="BX213" s="194"/>
      <c r="BY213" s="194"/>
      <c r="BZ213" s="194"/>
      <c r="CA213" s="194"/>
      <c r="CB213" s="194"/>
      <c r="CC213" s="194"/>
      <c r="CD213" s="194"/>
      <c r="CE213" s="194"/>
      <c r="CF213" s="194"/>
      <c r="CG213" s="194"/>
      <c r="CH213" s="194"/>
      <c r="CI213" s="194"/>
      <c r="CJ213" s="194"/>
      <c r="CK213" s="194"/>
      <c r="CL213" s="194"/>
      <c r="CM213" s="194"/>
      <c r="CN213" s="194"/>
      <c r="CO213" s="194"/>
      <c r="CP213" s="194"/>
      <c r="CQ213" s="194"/>
      <c r="CR213" s="194"/>
      <c r="CS213" s="194"/>
      <c r="CT213" s="194"/>
      <c r="CU213" s="194"/>
      <c r="CV213" s="194"/>
      <c r="CW213" s="194"/>
    </row>
    <row r="214" spans="1:101" s="195" customFormat="1" x14ac:dyDescent="0.25">
      <c r="A214" s="344" t="s">
        <v>426</v>
      </c>
      <c r="B214" s="345"/>
      <c r="C214" s="346" t="e">
        <f>AVERAGEIF(E214:J214, "&lt;&gt;0")</f>
        <v>#DIV/0!</v>
      </c>
      <c r="D214" s="493"/>
      <c r="E214" s="347">
        <f>IFERROR(E213/D213-1,0)</f>
        <v>0</v>
      </c>
      <c r="F214" s="347">
        <f t="shared" ref="F214" si="408">IFERROR(F213/E213-1,0)</f>
        <v>0</v>
      </c>
      <c r="G214" s="347">
        <f t="shared" ref="G214" si="409">IFERROR(G213/F213-1,0)</f>
        <v>0</v>
      </c>
      <c r="H214" s="347">
        <f t="shared" ref="H214" si="410">IFERROR(H213/G213-1,0)</f>
        <v>0</v>
      </c>
      <c r="I214" s="347">
        <f t="shared" ref="I214" si="411">IFERROR(I213/H213-1,0)</f>
        <v>0</v>
      </c>
      <c r="J214" s="351">
        <f t="shared" ref="J214" si="412">IFERROR(J213/I213-1,0)</f>
        <v>0</v>
      </c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4"/>
      <c r="BD214" s="194"/>
      <c r="BE214" s="194"/>
      <c r="BF214" s="194"/>
      <c r="BG214" s="194"/>
      <c r="BH214" s="194"/>
      <c r="BI214" s="194"/>
      <c r="BJ214" s="194"/>
      <c r="BK214" s="194"/>
      <c r="BL214" s="194"/>
      <c r="BM214" s="194"/>
      <c r="BN214" s="194"/>
      <c r="BO214" s="194"/>
      <c r="BP214" s="194"/>
      <c r="BQ214" s="194"/>
      <c r="BR214" s="194"/>
      <c r="BS214" s="194"/>
      <c r="BT214" s="194"/>
      <c r="BU214" s="194"/>
      <c r="BV214" s="194"/>
      <c r="BW214" s="194"/>
      <c r="BX214" s="194"/>
      <c r="BY214" s="194"/>
      <c r="BZ214" s="194"/>
      <c r="CA214" s="194"/>
      <c r="CB214" s="194"/>
      <c r="CC214" s="194"/>
      <c r="CD214" s="194"/>
      <c r="CE214" s="194"/>
      <c r="CF214" s="194"/>
      <c r="CG214" s="194"/>
      <c r="CH214" s="194"/>
      <c r="CI214" s="194"/>
      <c r="CJ214" s="194"/>
      <c r="CK214" s="194"/>
      <c r="CL214" s="194"/>
      <c r="CM214" s="194"/>
      <c r="CN214" s="194"/>
      <c r="CO214" s="194"/>
      <c r="CP214" s="194"/>
      <c r="CQ214" s="194"/>
      <c r="CR214" s="194"/>
      <c r="CS214" s="194"/>
      <c r="CT214" s="194"/>
      <c r="CU214" s="194"/>
      <c r="CV214" s="194"/>
      <c r="CW214" s="194"/>
    </row>
    <row r="215" spans="1:101" s="195" customFormat="1" x14ac:dyDescent="0.25">
      <c r="A215" s="795" t="s">
        <v>81</v>
      </c>
      <c r="B215" s="793"/>
      <c r="C215" s="794"/>
      <c r="D215" s="494"/>
      <c r="E215" s="494">
        <f>'Client Input'!B80</f>
        <v>34717057</v>
      </c>
      <c r="F215" s="494">
        <f>'Client Input'!C80</f>
        <v>20283600</v>
      </c>
      <c r="G215" s="494">
        <f>'Client Input'!D80</f>
        <v>17991779</v>
      </c>
      <c r="H215" s="494">
        <f>'Client Input'!E80</f>
        <v>17991779</v>
      </c>
      <c r="I215" s="494">
        <f>'Client Input'!F80</f>
        <v>17991779</v>
      </c>
      <c r="J215" s="494">
        <f>'Client Input'!G80</f>
        <v>17991779</v>
      </c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194"/>
      <c r="AT215" s="194"/>
      <c r="AU215" s="194"/>
      <c r="AV215" s="194"/>
      <c r="AW215" s="194"/>
      <c r="AX215" s="194"/>
      <c r="AY215" s="194"/>
      <c r="AZ215" s="194"/>
      <c r="BA215" s="194"/>
      <c r="BB215" s="194"/>
      <c r="BC215" s="194"/>
      <c r="BD215" s="194"/>
      <c r="BE215" s="194"/>
      <c r="BF215" s="194"/>
      <c r="BG215" s="194"/>
      <c r="BH215" s="194"/>
      <c r="BI215" s="194"/>
      <c r="BJ215" s="194"/>
      <c r="BK215" s="194"/>
      <c r="BL215" s="194"/>
      <c r="BM215" s="194"/>
      <c r="BN215" s="194"/>
      <c r="BO215" s="194"/>
      <c r="BP215" s="194"/>
      <c r="BQ215" s="194"/>
      <c r="BR215" s="194"/>
      <c r="BS215" s="194"/>
      <c r="BT215" s="194"/>
      <c r="BU215" s="194"/>
      <c r="BV215" s="194"/>
      <c r="BW215" s="194"/>
      <c r="BX215" s="194"/>
      <c r="BY215" s="194"/>
      <c r="BZ215" s="194"/>
      <c r="CA215" s="194"/>
      <c r="CB215" s="194"/>
      <c r="CC215" s="194"/>
      <c r="CD215" s="194"/>
      <c r="CE215" s="194"/>
      <c r="CF215" s="194"/>
      <c r="CG215" s="194"/>
      <c r="CH215" s="194"/>
      <c r="CI215" s="194"/>
      <c r="CJ215" s="194"/>
      <c r="CK215" s="194"/>
      <c r="CL215" s="194"/>
      <c r="CM215" s="194"/>
      <c r="CN215" s="194"/>
      <c r="CO215" s="194"/>
      <c r="CP215" s="194"/>
      <c r="CQ215" s="194"/>
      <c r="CR215" s="194"/>
      <c r="CS215" s="194"/>
      <c r="CT215" s="194"/>
      <c r="CU215" s="194"/>
      <c r="CV215" s="194"/>
      <c r="CW215" s="194"/>
    </row>
    <row r="216" spans="1:101" s="195" customFormat="1" x14ac:dyDescent="0.25">
      <c r="A216" s="344" t="s">
        <v>426</v>
      </c>
      <c r="B216" s="345"/>
      <c r="C216" s="346">
        <f>AVERAGEIF(E216:J216, "&lt;&gt;0")</f>
        <v>-0.26436713753770913</v>
      </c>
      <c r="D216" s="493"/>
      <c r="E216" s="347">
        <f>IFERROR(E215/D215-1,0)</f>
        <v>0</v>
      </c>
      <c r="F216" s="347">
        <f t="shared" ref="F216" si="413">IFERROR(F215/E215-1,0)</f>
        <v>-0.41574540722158559</v>
      </c>
      <c r="G216" s="347">
        <f t="shared" ref="G216" si="414">IFERROR(G215/F215-1,0)</f>
        <v>-0.11298886785383266</v>
      </c>
      <c r="H216" s="347">
        <f t="shared" ref="H216" si="415">IFERROR(H215/G215-1,0)</f>
        <v>0</v>
      </c>
      <c r="I216" s="347">
        <f t="shared" ref="I216" si="416">IFERROR(I215/H215-1,0)</f>
        <v>0</v>
      </c>
      <c r="J216" s="351">
        <f t="shared" ref="J216" si="417">IFERROR(J215/I215-1,0)</f>
        <v>0</v>
      </c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  <c r="AR216" s="194"/>
      <c r="AS216" s="194"/>
      <c r="AT216" s="194"/>
      <c r="AU216" s="194"/>
      <c r="AV216" s="194"/>
      <c r="AW216" s="194"/>
      <c r="AX216" s="194"/>
      <c r="AY216" s="194"/>
      <c r="AZ216" s="194"/>
      <c r="BA216" s="194"/>
      <c r="BB216" s="194"/>
      <c r="BC216" s="194"/>
      <c r="BD216" s="194"/>
      <c r="BE216" s="194"/>
      <c r="BF216" s="194"/>
      <c r="BG216" s="194"/>
      <c r="BH216" s="194"/>
      <c r="BI216" s="194"/>
      <c r="BJ216" s="194"/>
      <c r="BK216" s="194"/>
      <c r="BL216" s="194"/>
      <c r="BM216" s="194"/>
      <c r="BN216" s="194"/>
      <c r="BO216" s="194"/>
      <c r="BP216" s="194"/>
      <c r="BQ216" s="194"/>
      <c r="BR216" s="194"/>
      <c r="BS216" s="194"/>
      <c r="BT216" s="194"/>
      <c r="BU216" s="194"/>
      <c r="BV216" s="194"/>
      <c r="BW216" s="194"/>
      <c r="BX216" s="194"/>
      <c r="BY216" s="194"/>
      <c r="BZ216" s="194"/>
      <c r="CA216" s="194"/>
      <c r="CB216" s="194"/>
      <c r="CC216" s="194"/>
      <c r="CD216" s="194"/>
      <c r="CE216" s="194"/>
      <c r="CF216" s="194"/>
      <c r="CG216" s="194"/>
      <c r="CH216" s="194"/>
      <c r="CI216" s="194"/>
      <c r="CJ216" s="194"/>
      <c r="CK216" s="194"/>
      <c r="CL216" s="194"/>
      <c r="CM216" s="194"/>
      <c r="CN216" s="194"/>
      <c r="CO216" s="194"/>
      <c r="CP216" s="194"/>
      <c r="CQ216" s="194"/>
      <c r="CR216" s="194"/>
      <c r="CS216" s="194"/>
      <c r="CT216" s="194"/>
      <c r="CU216" s="194"/>
      <c r="CV216" s="194"/>
      <c r="CW216" s="194"/>
    </row>
    <row r="217" spans="1:101" x14ac:dyDescent="0.25">
      <c r="A217" s="289"/>
      <c r="B217" s="290"/>
      <c r="C217" s="291"/>
      <c r="D217" s="536"/>
      <c r="E217" s="536"/>
      <c r="F217" s="536"/>
      <c r="G217" s="512"/>
      <c r="H217" s="512"/>
      <c r="I217" s="512"/>
      <c r="J217" s="501"/>
    </row>
    <row r="218" spans="1:101" x14ac:dyDescent="0.25">
      <c r="A218" s="786" t="s">
        <v>82</v>
      </c>
      <c r="B218" s="787"/>
      <c r="C218" s="788"/>
      <c r="D218" s="499">
        <f>SUM(D191+D193+D195+D197+D199+D201+D203+D205+D207+D209+D211+D213+D215)</f>
        <v>0</v>
      </c>
      <c r="E218" s="499">
        <f t="shared" ref="E218:J218" si="418">SUM(E191+E193+E195+E197+E199+E201+E203+E205+E207+E209+E211+E213+E215)</f>
        <v>680566311</v>
      </c>
      <c r="F218" s="499">
        <f t="shared" si="418"/>
        <v>1223404327</v>
      </c>
      <c r="G218" s="499">
        <f t="shared" si="418"/>
        <v>1534058786</v>
      </c>
      <c r="H218" s="499">
        <f t="shared" si="418"/>
        <v>1094474341.0526028</v>
      </c>
      <c r="I218" s="499">
        <f t="shared" si="418"/>
        <v>1198134589.2578633</v>
      </c>
      <c r="J218" s="499">
        <f t="shared" si="418"/>
        <v>1384771562.1035013</v>
      </c>
    </row>
    <row r="219" spans="1:101" x14ac:dyDescent="0.25">
      <c r="A219" s="344" t="s">
        <v>426</v>
      </c>
      <c r="B219" s="345"/>
      <c r="C219" s="346">
        <f>AVERAGEIF(E219:J219, "&lt;&gt;0")</f>
        <v>0.20309771069811525</v>
      </c>
      <c r="D219" s="493"/>
      <c r="E219" s="347">
        <f>IFERROR(E218/D218-1,0)</f>
        <v>0</v>
      </c>
      <c r="F219" s="347">
        <f t="shared" ref="F219" si="419">IFERROR(F218/E218-1,0)</f>
        <v>0.79762692808342672</v>
      </c>
      <c r="G219" s="347">
        <f t="shared" ref="G219" si="420">IFERROR(G218/F218-1,0)</f>
        <v>0.2539262385656087</v>
      </c>
      <c r="H219" s="347">
        <f t="shared" ref="H219" si="421">IFERROR(H218/G218-1,0)</f>
        <v>-0.28654993469552559</v>
      </c>
      <c r="I219" s="347">
        <f t="shared" ref="I219" si="422">IFERROR(I218/H218-1,0)</f>
        <v>9.471236036978814E-2</v>
      </c>
      <c r="J219" s="351">
        <f t="shared" ref="J219" si="423">IFERROR(J218/I218-1,0)</f>
        <v>0.15577296116727823</v>
      </c>
    </row>
    <row r="220" spans="1:101" x14ac:dyDescent="0.25">
      <c r="A220" s="289"/>
      <c r="B220" s="290"/>
      <c r="C220" s="291"/>
      <c r="D220" s="514"/>
      <c r="E220" s="514"/>
      <c r="F220" s="514"/>
      <c r="G220" s="512"/>
      <c r="H220" s="512"/>
      <c r="I220" s="512"/>
      <c r="J220" s="501"/>
    </row>
    <row r="221" spans="1:101" x14ac:dyDescent="0.25">
      <c r="A221" s="795" t="s">
        <v>83</v>
      </c>
      <c r="B221" s="793"/>
      <c r="C221" s="794"/>
      <c r="D221" s="494">
        <v>0</v>
      </c>
      <c r="E221" s="494">
        <f>'Client Input'!B81</f>
        <v>0</v>
      </c>
      <c r="F221" s="494">
        <f>'Client Input'!C81</f>
        <v>0</v>
      </c>
      <c r="G221" s="494">
        <f>'Client Input'!D81</f>
        <v>0</v>
      </c>
      <c r="H221" s="494">
        <f>'Client Input'!E81</f>
        <v>0</v>
      </c>
      <c r="I221" s="494">
        <f>'Client Input'!F81</f>
        <v>0</v>
      </c>
      <c r="J221" s="494">
        <f>'Client Input'!G81</f>
        <v>0</v>
      </c>
    </row>
    <row r="222" spans="1:101" x14ac:dyDescent="0.25">
      <c r="A222" s="344" t="s">
        <v>426</v>
      </c>
      <c r="B222" s="345"/>
      <c r="C222" s="346" t="e">
        <f>AVERAGEIF(E222:J222, "&lt;&gt;0")</f>
        <v>#DIV/0!</v>
      </c>
      <c r="D222" s="493"/>
      <c r="E222" s="347">
        <f>IFERROR(E221/D221-1,0)</f>
        <v>0</v>
      </c>
      <c r="F222" s="347">
        <f t="shared" ref="F222" si="424">IFERROR(F221/E221-1,0)</f>
        <v>0</v>
      </c>
      <c r="G222" s="347">
        <f t="shared" ref="G222" si="425">IFERROR(G221/F221-1,0)</f>
        <v>0</v>
      </c>
      <c r="H222" s="347">
        <f t="shared" ref="H222" si="426">IFERROR(H221/G221-1,0)</f>
        <v>0</v>
      </c>
      <c r="I222" s="347">
        <f t="shared" ref="I222" si="427">IFERROR(I221/H221-1,0)</f>
        <v>0</v>
      </c>
      <c r="J222" s="351">
        <f t="shared" ref="J222" si="428">IFERROR(J221/I221-1,0)</f>
        <v>0</v>
      </c>
    </row>
    <row r="223" spans="1:101" s="195" customFormat="1" x14ac:dyDescent="0.25">
      <c r="A223" s="795" t="s">
        <v>84</v>
      </c>
      <c r="B223" s="793"/>
      <c r="C223" s="794"/>
      <c r="D223" s="494"/>
      <c r="E223" s="494">
        <f>'Client Input'!B82</f>
        <v>20172994</v>
      </c>
      <c r="F223" s="494">
        <f>'Client Input'!C82</f>
        <v>6922261</v>
      </c>
      <c r="G223" s="494">
        <f>'Client Input'!D82</f>
        <v>0</v>
      </c>
      <c r="H223" s="494">
        <f>'Client Input'!E82</f>
        <v>159520320</v>
      </c>
      <c r="I223" s="494">
        <f>'Client Input'!F82</f>
        <v>119640240</v>
      </c>
      <c r="J223" s="494">
        <f>'Client Input'!G82</f>
        <v>79760160</v>
      </c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4"/>
      <c r="AT223" s="194"/>
      <c r="AU223" s="194"/>
      <c r="AV223" s="194"/>
      <c r="AW223" s="194"/>
      <c r="AX223" s="194"/>
      <c r="AY223" s="194"/>
      <c r="AZ223" s="194"/>
      <c r="BA223" s="194"/>
      <c r="BB223" s="194"/>
      <c r="BC223" s="194"/>
      <c r="BD223" s="194"/>
      <c r="BE223" s="194"/>
      <c r="BF223" s="194"/>
      <c r="BG223" s="194"/>
      <c r="BH223" s="194"/>
      <c r="BI223" s="194"/>
      <c r="BJ223" s="194"/>
      <c r="BK223" s="194"/>
      <c r="BL223" s="194"/>
      <c r="BM223" s="194"/>
      <c r="BN223" s="194"/>
      <c r="BO223" s="194"/>
      <c r="BP223" s="194"/>
      <c r="BQ223" s="194"/>
      <c r="BR223" s="194"/>
      <c r="BS223" s="194"/>
      <c r="BT223" s="194"/>
      <c r="BU223" s="194"/>
      <c r="BV223" s="194"/>
      <c r="BW223" s="194"/>
      <c r="BX223" s="194"/>
      <c r="BY223" s="194"/>
      <c r="BZ223" s="194"/>
      <c r="CA223" s="194"/>
      <c r="CB223" s="194"/>
      <c r="CC223" s="194"/>
      <c r="CD223" s="194"/>
      <c r="CE223" s="194"/>
      <c r="CF223" s="194"/>
      <c r="CG223" s="194"/>
      <c r="CH223" s="194"/>
      <c r="CI223" s="194"/>
      <c r="CJ223" s="194"/>
      <c r="CK223" s="194"/>
      <c r="CL223" s="194"/>
      <c r="CM223" s="194"/>
      <c r="CN223" s="194"/>
      <c r="CO223" s="194"/>
      <c r="CP223" s="194"/>
      <c r="CQ223" s="194"/>
      <c r="CR223" s="194"/>
      <c r="CS223" s="194"/>
      <c r="CT223" s="194"/>
      <c r="CU223" s="194"/>
      <c r="CV223" s="194"/>
      <c r="CW223" s="194"/>
    </row>
    <row r="224" spans="1:101" s="195" customFormat="1" x14ac:dyDescent="0.25">
      <c r="A224" s="344" t="s">
        <v>426</v>
      </c>
      <c r="B224" s="345"/>
      <c r="C224" s="346">
        <f>AVERAGEIF(E224:J224, "&lt;&gt;0")</f>
        <v>-0.56004709604996328</v>
      </c>
      <c r="D224" s="493"/>
      <c r="E224" s="347">
        <f>IFERROR(E223/D223-1,0)</f>
        <v>0</v>
      </c>
      <c r="F224" s="347">
        <f t="shared" ref="F224" si="429">IFERROR(F223/E223-1,0)</f>
        <v>-0.65685505086651985</v>
      </c>
      <c r="G224" s="347">
        <f t="shared" ref="G224" si="430">IFERROR(G223/F223-1,0)</f>
        <v>-1</v>
      </c>
      <c r="H224" s="347">
        <f t="shared" ref="H224" si="431">IFERROR(H223/G223-1,0)</f>
        <v>0</v>
      </c>
      <c r="I224" s="347">
        <f t="shared" ref="I224" si="432">IFERROR(I223/H223-1,0)</f>
        <v>-0.25</v>
      </c>
      <c r="J224" s="351">
        <f t="shared" ref="J224" si="433">IFERROR(J223/I223-1,0)</f>
        <v>-0.33333333333333337</v>
      </c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4"/>
      <c r="AT224" s="194"/>
      <c r="AU224" s="194"/>
      <c r="AV224" s="194"/>
      <c r="AW224" s="194"/>
      <c r="AX224" s="194"/>
      <c r="AY224" s="194"/>
      <c r="AZ224" s="194"/>
      <c r="BA224" s="194"/>
      <c r="BB224" s="194"/>
      <c r="BC224" s="194"/>
      <c r="BD224" s="194"/>
      <c r="BE224" s="194"/>
      <c r="BF224" s="194"/>
      <c r="BG224" s="194"/>
      <c r="BH224" s="194"/>
      <c r="BI224" s="194"/>
      <c r="BJ224" s="194"/>
      <c r="BK224" s="194"/>
      <c r="BL224" s="194"/>
      <c r="BM224" s="194"/>
      <c r="BN224" s="194"/>
      <c r="BO224" s="194"/>
      <c r="BP224" s="194"/>
      <c r="BQ224" s="194"/>
      <c r="BR224" s="194"/>
      <c r="BS224" s="194"/>
      <c r="BT224" s="194"/>
      <c r="BU224" s="194"/>
      <c r="BV224" s="194"/>
      <c r="BW224" s="194"/>
      <c r="BX224" s="194"/>
      <c r="BY224" s="194"/>
      <c r="BZ224" s="194"/>
      <c r="CA224" s="194"/>
      <c r="CB224" s="194"/>
      <c r="CC224" s="194"/>
      <c r="CD224" s="194"/>
      <c r="CE224" s="194"/>
      <c r="CF224" s="194"/>
      <c r="CG224" s="194"/>
      <c r="CH224" s="194"/>
      <c r="CI224" s="194"/>
      <c r="CJ224" s="194"/>
      <c r="CK224" s="194"/>
      <c r="CL224" s="194"/>
      <c r="CM224" s="194"/>
      <c r="CN224" s="194"/>
      <c r="CO224" s="194"/>
      <c r="CP224" s="194"/>
      <c r="CQ224" s="194"/>
      <c r="CR224" s="194"/>
      <c r="CS224" s="194"/>
      <c r="CT224" s="194"/>
      <c r="CU224" s="194"/>
      <c r="CV224" s="194"/>
      <c r="CW224" s="194"/>
    </row>
    <row r="225" spans="1:101" x14ac:dyDescent="0.25">
      <c r="A225" s="795" t="s">
        <v>85</v>
      </c>
      <c r="B225" s="793"/>
      <c r="C225" s="794"/>
      <c r="D225" s="494">
        <v>0</v>
      </c>
      <c r="E225" s="494">
        <f>'Client Input'!B83</f>
        <v>0</v>
      </c>
      <c r="F225" s="494">
        <f>'Client Input'!C83</f>
        <v>0</v>
      </c>
      <c r="G225" s="494">
        <f>'Client Input'!D83</f>
        <v>0</v>
      </c>
      <c r="H225" s="494">
        <f>'Client Input'!E83</f>
        <v>0</v>
      </c>
      <c r="I225" s="494">
        <f>'Client Input'!F83</f>
        <v>0</v>
      </c>
      <c r="J225" s="494">
        <f>'Client Input'!G83</f>
        <v>0</v>
      </c>
    </row>
    <row r="226" spans="1:101" x14ac:dyDescent="0.25">
      <c r="A226" s="344" t="s">
        <v>426</v>
      </c>
      <c r="B226" s="345"/>
      <c r="C226" s="346" t="e">
        <f>AVERAGEIF(E226:J226, "&lt;&gt;0")</f>
        <v>#DIV/0!</v>
      </c>
      <c r="D226" s="493"/>
      <c r="E226" s="347">
        <f>IFERROR(E225/D225-1,0)</f>
        <v>0</v>
      </c>
      <c r="F226" s="347">
        <f t="shared" ref="F226" si="434">IFERROR(F225/E225-1,0)</f>
        <v>0</v>
      </c>
      <c r="G226" s="347">
        <f t="shared" ref="G226" si="435">IFERROR(G225/F225-1,0)</f>
        <v>0</v>
      </c>
      <c r="H226" s="347">
        <f t="shared" ref="H226" si="436">IFERROR(H225/G225-1,0)</f>
        <v>0</v>
      </c>
      <c r="I226" s="347">
        <f t="shared" ref="I226" si="437">IFERROR(I225/H225-1,0)</f>
        <v>0</v>
      </c>
      <c r="J226" s="351">
        <f t="shared" ref="J226" si="438">IFERROR(J225/I225-1,0)</f>
        <v>0</v>
      </c>
    </row>
    <row r="227" spans="1:101" x14ac:dyDescent="0.25">
      <c r="A227" s="289"/>
      <c r="B227" s="290"/>
      <c r="C227" s="291"/>
      <c r="D227" s="503"/>
      <c r="E227" s="503"/>
      <c r="F227" s="503"/>
      <c r="G227" s="512"/>
      <c r="H227" s="512"/>
      <c r="I227" s="512"/>
      <c r="J227" s="501"/>
    </row>
    <row r="228" spans="1:101" x14ac:dyDescent="0.25">
      <c r="A228" s="292" t="s">
        <v>86</v>
      </c>
      <c r="B228" s="287"/>
      <c r="C228" s="288"/>
      <c r="D228" s="499">
        <f>SUM(D221+D223+D225)</f>
        <v>0</v>
      </c>
      <c r="E228" s="499">
        <f t="shared" ref="E228:J228" si="439">SUM(E221+E223+E225)</f>
        <v>20172994</v>
      </c>
      <c r="F228" s="499">
        <f t="shared" si="439"/>
        <v>6922261</v>
      </c>
      <c r="G228" s="499">
        <f t="shared" si="439"/>
        <v>0</v>
      </c>
      <c r="H228" s="499">
        <f t="shared" si="439"/>
        <v>159520320</v>
      </c>
      <c r="I228" s="499">
        <f t="shared" si="439"/>
        <v>119640240</v>
      </c>
      <c r="J228" s="499">
        <f t="shared" si="439"/>
        <v>79760160</v>
      </c>
    </row>
    <row r="229" spans="1:101" x14ac:dyDescent="0.25">
      <c r="A229" s="344" t="s">
        <v>426</v>
      </c>
      <c r="B229" s="345"/>
      <c r="C229" s="346">
        <f>AVERAGEIF(E229:J229, "&lt;&gt;0")</f>
        <v>-0.56004709604996328</v>
      </c>
      <c r="D229" s="493"/>
      <c r="E229" s="347">
        <f>IFERROR(E228/D228-1,0)</f>
        <v>0</v>
      </c>
      <c r="F229" s="347">
        <f t="shared" ref="F229" si="440">IFERROR(F228/E228-1,0)</f>
        <v>-0.65685505086651985</v>
      </c>
      <c r="G229" s="347">
        <f t="shared" ref="G229" si="441">IFERROR(G228/F228-1,0)</f>
        <v>-1</v>
      </c>
      <c r="H229" s="347">
        <f t="shared" ref="H229" si="442">IFERROR(H228/G228-1,0)</f>
        <v>0</v>
      </c>
      <c r="I229" s="347">
        <f t="shared" ref="I229" si="443">IFERROR(I228/H228-1,0)</f>
        <v>-0.25</v>
      </c>
      <c r="J229" s="351">
        <f t="shared" ref="J229" si="444">IFERROR(J228/I228-1,0)</f>
        <v>-0.33333333333333337</v>
      </c>
    </row>
    <row r="230" spans="1:101" x14ac:dyDescent="0.25">
      <c r="A230" s="289"/>
      <c r="B230" s="290"/>
      <c r="C230" s="291"/>
      <c r="D230" s="514"/>
      <c r="E230" s="514"/>
      <c r="F230" s="537"/>
      <c r="G230" s="512"/>
      <c r="H230" s="512"/>
      <c r="I230" s="512"/>
      <c r="J230" s="501"/>
    </row>
    <row r="231" spans="1:101" s="195" customFormat="1" x14ac:dyDescent="0.25">
      <c r="A231" s="218" t="s">
        <v>87</v>
      </c>
      <c r="B231" s="219"/>
      <c r="C231" s="220"/>
      <c r="D231" s="494">
        <v>0</v>
      </c>
      <c r="E231" s="494">
        <f>'Client Input'!B84</f>
        <v>0</v>
      </c>
      <c r="F231" s="494">
        <f>'Client Input'!C84</f>
        <v>0</v>
      </c>
      <c r="G231" s="494">
        <f>'Client Input'!D84</f>
        <v>0</v>
      </c>
      <c r="H231" s="494">
        <f>'Client Input'!E84</f>
        <v>0</v>
      </c>
      <c r="I231" s="494">
        <f>'Client Input'!F84</f>
        <v>0</v>
      </c>
      <c r="J231" s="494">
        <f>'Client Input'!G84</f>
        <v>0</v>
      </c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4"/>
      <c r="AT231" s="194"/>
      <c r="AU231" s="194"/>
      <c r="AV231" s="194"/>
      <c r="AW231" s="194"/>
      <c r="AX231" s="194"/>
      <c r="AY231" s="194"/>
      <c r="AZ231" s="194"/>
      <c r="BA231" s="194"/>
      <c r="BB231" s="194"/>
      <c r="BC231" s="194"/>
      <c r="BD231" s="194"/>
      <c r="BE231" s="194"/>
      <c r="BF231" s="194"/>
      <c r="BG231" s="194"/>
      <c r="BH231" s="194"/>
      <c r="BI231" s="194"/>
      <c r="BJ231" s="194"/>
      <c r="BK231" s="194"/>
      <c r="BL231" s="194"/>
      <c r="BM231" s="194"/>
      <c r="BN231" s="194"/>
      <c r="BO231" s="194"/>
      <c r="BP231" s="194"/>
      <c r="BQ231" s="194"/>
      <c r="BR231" s="194"/>
      <c r="BS231" s="194"/>
      <c r="BT231" s="194"/>
      <c r="BU231" s="194"/>
      <c r="BV231" s="194"/>
      <c r="BW231" s="194"/>
      <c r="BX231" s="194"/>
      <c r="BY231" s="194"/>
      <c r="BZ231" s="194"/>
      <c r="CA231" s="194"/>
      <c r="CB231" s="194"/>
      <c r="CC231" s="194"/>
      <c r="CD231" s="194"/>
      <c r="CE231" s="194"/>
      <c r="CF231" s="194"/>
      <c r="CG231" s="194"/>
      <c r="CH231" s="194"/>
      <c r="CI231" s="194"/>
      <c r="CJ231" s="194"/>
      <c r="CK231" s="194"/>
      <c r="CL231" s="194"/>
      <c r="CM231" s="194"/>
      <c r="CN231" s="194"/>
      <c r="CO231" s="194"/>
      <c r="CP231" s="194"/>
      <c r="CQ231" s="194"/>
      <c r="CR231" s="194"/>
      <c r="CS231" s="194"/>
      <c r="CT231" s="194"/>
      <c r="CU231" s="194"/>
      <c r="CV231" s="194"/>
      <c r="CW231" s="194"/>
    </row>
    <row r="232" spans="1:101" s="195" customFormat="1" x14ac:dyDescent="0.25">
      <c r="A232" s="344" t="s">
        <v>426</v>
      </c>
      <c r="B232" s="345"/>
      <c r="C232" s="346" t="e">
        <f>AVERAGEIF(E232:J232, "&lt;&gt;0")</f>
        <v>#DIV/0!</v>
      </c>
      <c r="D232" s="493"/>
      <c r="E232" s="347">
        <f>IFERROR(E231/D231-1,0)</f>
        <v>0</v>
      </c>
      <c r="F232" s="347">
        <f t="shared" ref="F232" si="445">IFERROR(F231/E231-1,0)</f>
        <v>0</v>
      </c>
      <c r="G232" s="347">
        <f t="shared" ref="G232" si="446">IFERROR(G231/F231-1,0)</f>
        <v>0</v>
      </c>
      <c r="H232" s="347">
        <f t="shared" ref="H232" si="447">IFERROR(H231/G231-1,0)</f>
        <v>0</v>
      </c>
      <c r="I232" s="347">
        <f t="shared" ref="I232" si="448">IFERROR(I231/H231-1,0)</f>
        <v>0</v>
      </c>
      <c r="J232" s="351">
        <f t="shared" ref="J232" si="449">IFERROR(J231/I231-1,0)</f>
        <v>0</v>
      </c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4"/>
      <c r="AL232" s="194"/>
      <c r="AM232" s="194"/>
      <c r="AN232" s="194"/>
      <c r="AO232" s="194"/>
      <c r="AP232" s="194"/>
      <c r="AQ232" s="194"/>
      <c r="AR232" s="194"/>
      <c r="AS232" s="194"/>
      <c r="AT232" s="194"/>
      <c r="AU232" s="194"/>
      <c r="AV232" s="194"/>
      <c r="AW232" s="194"/>
      <c r="AX232" s="194"/>
      <c r="AY232" s="194"/>
      <c r="AZ232" s="194"/>
      <c r="BA232" s="194"/>
      <c r="BB232" s="194"/>
      <c r="BC232" s="194"/>
      <c r="BD232" s="194"/>
      <c r="BE232" s="194"/>
      <c r="BF232" s="194"/>
      <c r="BG232" s="194"/>
      <c r="BH232" s="194"/>
      <c r="BI232" s="194"/>
      <c r="BJ232" s="194"/>
      <c r="BK232" s="194"/>
      <c r="BL232" s="194"/>
      <c r="BM232" s="194"/>
      <c r="BN232" s="194"/>
      <c r="BO232" s="194"/>
      <c r="BP232" s="194"/>
      <c r="BQ232" s="194"/>
      <c r="BR232" s="194"/>
      <c r="BS232" s="194"/>
      <c r="BT232" s="194"/>
      <c r="BU232" s="194"/>
      <c r="BV232" s="194"/>
      <c r="BW232" s="194"/>
      <c r="BX232" s="194"/>
      <c r="BY232" s="194"/>
      <c r="BZ232" s="194"/>
      <c r="CA232" s="194"/>
      <c r="CB232" s="194"/>
      <c r="CC232" s="194"/>
      <c r="CD232" s="194"/>
      <c r="CE232" s="194"/>
      <c r="CF232" s="194"/>
      <c r="CG232" s="194"/>
      <c r="CH232" s="194"/>
      <c r="CI232" s="194"/>
      <c r="CJ232" s="194"/>
      <c r="CK232" s="194"/>
      <c r="CL232" s="194"/>
      <c r="CM232" s="194"/>
      <c r="CN232" s="194"/>
      <c r="CO232" s="194"/>
      <c r="CP232" s="194"/>
      <c r="CQ232" s="194"/>
      <c r="CR232" s="194"/>
      <c r="CS232" s="194"/>
      <c r="CT232" s="194"/>
      <c r="CU232" s="194"/>
      <c r="CV232" s="194"/>
      <c r="CW232" s="194"/>
    </row>
    <row r="233" spans="1:101" s="195" customFormat="1" x14ac:dyDescent="0.25">
      <c r="A233" s="218" t="s">
        <v>88</v>
      </c>
      <c r="B233" s="219"/>
      <c r="C233" s="220"/>
      <c r="D233" s="494"/>
      <c r="E233" s="494">
        <f>'Client Input'!B85</f>
        <v>19024798</v>
      </c>
      <c r="F233" s="494">
        <f>'Client Input'!C85</f>
        <v>23039100</v>
      </c>
      <c r="G233" s="494">
        <f>'Client Input'!D85</f>
        <v>25829073</v>
      </c>
      <c r="H233" s="494">
        <f>'Client Input'!E85</f>
        <v>25829073</v>
      </c>
      <c r="I233" s="494">
        <f>'Client Input'!F85</f>
        <v>25829073</v>
      </c>
      <c r="J233" s="494">
        <f>'Client Input'!G85</f>
        <v>25829073</v>
      </c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  <c r="AR233" s="194"/>
      <c r="AS233" s="194"/>
      <c r="AT233" s="194"/>
      <c r="AU233" s="194"/>
      <c r="AV233" s="194"/>
      <c r="AW233" s="194"/>
      <c r="AX233" s="194"/>
      <c r="AY233" s="194"/>
      <c r="AZ233" s="194"/>
      <c r="BA233" s="194"/>
      <c r="BB233" s="194"/>
      <c r="BC233" s="194"/>
      <c r="BD233" s="194"/>
      <c r="BE233" s="194"/>
      <c r="BF233" s="194"/>
      <c r="BG233" s="194"/>
      <c r="BH233" s="194"/>
      <c r="BI233" s="194"/>
      <c r="BJ233" s="194"/>
      <c r="BK233" s="194"/>
      <c r="BL233" s="194"/>
      <c r="BM233" s="194"/>
      <c r="BN233" s="194"/>
      <c r="BO233" s="194"/>
      <c r="BP233" s="194"/>
      <c r="BQ233" s="194"/>
      <c r="BR233" s="194"/>
      <c r="BS233" s="194"/>
      <c r="BT233" s="194"/>
      <c r="BU233" s="194"/>
      <c r="BV233" s="194"/>
      <c r="BW233" s="194"/>
      <c r="BX233" s="194"/>
      <c r="BY233" s="194"/>
      <c r="BZ233" s="194"/>
      <c r="CA233" s="194"/>
      <c r="CB233" s="194"/>
      <c r="CC233" s="194"/>
      <c r="CD233" s="194"/>
      <c r="CE233" s="194"/>
      <c r="CF233" s="194"/>
      <c r="CG233" s="194"/>
      <c r="CH233" s="194"/>
      <c r="CI233" s="194"/>
      <c r="CJ233" s="194"/>
      <c r="CK233" s="194"/>
      <c r="CL233" s="194"/>
      <c r="CM233" s="194"/>
      <c r="CN233" s="194"/>
      <c r="CO233" s="194"/>
      <c r="CP233" s="194"/>
      <c r="CQ233" s="194"/>
      <c r="CR233" s="194"/>
      <c r="CS233" s="194"/>
      <c r="CT233" s="194"/>
      <c r="CU233" s="194"/>
      <c r="CV233" s="194"/>
      <c r="CW233" s="194"/>
    </row>
    <row r="234" spans="1:101" s="195" customFormat="1" x14ac:dyDescent="0.25">
      <c r="A234" s="344" t="s">
        <v>426</v>
      </c>
      <c r="B234" s="345"/>
      <c r="C234" s="346">
        <f>AVERAGEIF(E234:J234, "&lt;&gt;0")</f>
        <v>0.16605048401406275</v>
      </c>
      <c r="D234" s="493"/>
      <c r="E234" s="347">
        <f>IFERROR(E233/D233-1,0)</f>
        <v>0</v>
      </c>
      <c r="F234" s="347">
        <f t="shared" ref="F234" si="450">IFERROR(F233/E233-1,0)</f>
        <v>0.21100365953951261</v>
      </c>
      <c r="G234" s="347">
        <f t="shared" ref="G234" si="451">IFERROR(G233/F233-1,0)</f>
        <v>0.12109730848861289</v>
      </c>
      <c r="H234" s="347">
        <f t="shared" ref="H234" si="452">IFERROR(H233/G233-1,0)</f>
        <v>0</v>
      </c>
      <c r="I234" s="347">
        <f t="shared" ref="I234" si="453">IFERROR(I233/H233-1,0)</f>
        <v>0</v>
      </c>
      <c r="J234" s="351">
        <f t="shared" ref="J234" si="454">IFERROR(J233/I233-1,0)</f>
        <v>0</v>
      </c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194"/>
      <c r="AT234" s="194"/>
      <c r="AU234" s="194"/>
      <c r="AV234" s="194"/>
      <c r="AW234" s="194"/>
      <c r="AX234" s="194"/>
      <c r="AY234" s="194"/>
      <c r="AZ234" s="194"/>
      <c r="BA234" s="194"/>
      <c r="BB234" s="194"/>
      <c r="BC234" s="194"/>
      <c r="BD234" s="194"/>
      <c r="BE234" s="194"/>
      <c r="BF234" s="194"/>
      <c r="BG234" s="194"/>
      <c r="BH234" s="194"/>
      <c r="BI234" s="194"/>
      <c r="BJ234" s="194"/>
      <c r="BK234" s="194"/>
      <c r="BL234" s="194"/>
      <c r="BM234" s="194"/>
      <c r="BN234" s="194"/>
      <c r="BO234" s="194"/>
      <c r="BP234" s="194"/>
      <c r="BQ234" s="194"/>
      <c r="BR234" s="194"/>
      <c r="BS234" s="194"/>
      <c r="BT234" s="194"/>
      <c r="BU234" s="194"/>
      <c r="BV234" s="194"/>
      <c r="BW234" s="194"/>
      <c r="BX234" s="194"/>
      <c r="BY234" s="194"/>
      <c r="BZ234" s="194"/>
      <c r="CA234" s="194"/>
      <c r="CB234" s="194"/>
      <c r="CC234" s="194"/>
      <c r="CD234" s="194"/>
      <c r="CE234" s="194"/>
      <c r="CF234" s="194"/>
      <c r="CG234" s="194"/>
      <c r="CH234" s="194"/>
      <c r="CI234" s="194"/>
      <c r="CJ234" s="194"/>
      <c r="CK234" s="194"/>
      <c r="CL234" s="194"/>
      <c r="CM234" s="194"/>
      <c r="CN234" s="194"/>
      <c r="CO234" s="194"/>
      <c r="CP234" s="194"/>
      <c r="CQ234" s="194"/>
      <c r="CR234" s="194"/>
      <c r="CS234" s="194"/>
      <c r="CT234" s="194"/>
      <c r="CU234" s="194"/>
      <c r="CV234" s="194"/>
      <c r="CW234" s="194"/>
    </row>
    <row r="235" spans="1:101" s="195" customFormat="1" x14ac:dyDescent="0.25">
      <c r="A235" s="218" t="s">
        <v>89</v>
      </c>
      <c r="B235" s="219"/>
      <c r="C235" s="220"/>
      <c r="D235" s="494">
        <v>0</v>
      </c>
      <c r="E235" s="494">
        <f>'Client Input'!B86</f>
        <v>16097801</v>
      </c>
      <c r="F235" s="494">
        <f>'Client Input'!C86</f>
        <v>20717600</v>
      </c>
      <c r="G235" s="494">
        <f>'Client Input'!D86</f>
        <v>22144111</v>
      </c>
      <c r="H235" s="494">
        <f>'Client Input'!E86</f>
        <v>22144111</v>
      </c>
      <c r="I235" s="494">
        <f>'Client Input'!F86</f>
        <v>22144111</v>
      </c>
      <c r="J235" s="494">
        <f>'Client Input'!G86</f>
        <v>22144111</v>
      </c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4"/>
      <c r="AL235" s="194"/>
      <c r="AM235" s="194"/>
      <c r="AN235" s="194"/>
      <c r="AO235" s="194"/>
      <c r="AP235" s="194"/>
      <c r="AQ235" s="194"/>
      <c r="AR235" s="194"/>
      <c r="AS235" s="194"/>
      <c r="AT235" s="194"/>
      <c r="AU235" s="194"/>
      <c r="AV235" s="194"/>
      <c r="AW235" s="194"/>
      <c r="AX235" s="194"/>
      <c r="AY235" s="194"/>
      <c r="AZ235" s="194"/>
      <c r="BA235" s="194"/>
      <c r="BB235" s="194"/>
      <c r="BC235" s="194"/>
      <c r="BD235" s="194"/>
      <c r="BE235" s="194"/>
      <c r="BF235" s="194"/>
      <c r="BG235" s="194"/>
      <c r="BH235" s="194"/>
      <c r="BI235" s="194"/>
      <c r="BJ235" s="194"/>
      <c r="BK235" s="194"/>
      <c r="BL235" s="194"/>
      <c r="BM235" s="194"/>
      <c r="BN235" s="194"/>
      <c r="BO235" s="194"/>
      <c r="BP235" s="194"/>
      <c r="BQ235" s="194"/>
      <c r="BR235" s="194"/>
      <c r="BS235" s="194"/>
      <c r="BT235" s="194"/>
      <c r="BU235" s="194"/>
      <c r="BV235" s="194"/>
      <c r="BW235" s="194"/>
      <c r="BX235" s="194"/>
      <c r="BY235" s="194"/>
      <c r="BZ235" s="194"/>
      <c r="CA235" s="194"/>
      <c r="CB235" s="194"/>
      <c r="CC235" s="194"/>
      <c r="CD235" s="194"/>
      <c r="CE235" s="194"/>
      <c r="CF235" s="194"/>
      <c r="CG235" s="194"/>
      <c r="CH235" s="194"/>
      <c r="CI235" s="194"/>
      <c r="CJ235" s="194"/>
      <c r="CK235" s="194"/>
      <c r="CL235" s="194"/>
      <c r="CM235" s="194"/>
      <c r="CN235" s="194"/>
      <c r="CO235" s="194"/>
      <c r="CP235" s="194"/>
      <c r="CQ235" s="194"/>
      <c r="CR235" s="194"/>
      <c r="CS235" s="194"/>
      <c r="CT235" s="194"/>
      <c r="CU235" s="194"/>
      <c r="CV235" s="194"/>
      <c r="CW235" s="194"/>
    </row>
    <row r="236" spans="1:101" s="195" customFormat="1" x14ac:dyDescent="0.25">
      <c r="A236" s="344" t="s">
        <v>426</v>
      </c>
      <c r="B236" s="345"/>
      <c r="C236" s="346">
        <f>AVERAGEIF(E236:J236, "&lt;&gt;0")</f>
        <v>0.1779191330066171</v>
      </c>
      <c r="D236" s="493"/>
      <c r="E236" s="347">
        <f>IFERROR(E235/D235-1,0)</f>
        <v>0</v>
      </c>
      <c r="F236" s="347">
        <f t="shared" ref="F236" si="455">IFERROR(F235/E235-1,0)</f>
        <v>0.28698323454240748</v>
      </c>
      <c r="G236" s="347">
        <f t="shared" ref="G236" si="456">IFERROR(G235/F235-1,0)</f>
        <v>6.8855031470826722E-2</v>
      </c>
      <c r="H236" s="347">
        <f t="shared" ref="H236" si="457">IFERROR(H235/G235-1,0)</f>
        <v>0</v>
      </c>
      <c r="I236" s="347">
        <f t="shared" ref="I236" si="458">IFERROR(I235/H235-1,0)</f>
        <v>0</v>
      </c>
      <c r="J236" s="351">
        <f t="shared" ref="J236" si="459">IFERROR(J235/I235-1,0)</f>
        <v>0</v>
      </c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194"/>
      <c r="AR236" s="194"/>
      <c r="AS236" s="194"/>
      <c r="AT236" s="194"/>
      <c r="AU236" s="194"/>
      <c r="AV236" s="194"/>
      <c r="AW236" s="194"/>
      <c r="AX236" s="194"/>
      <c r="AY236" s="194"/>
      <c r="AZ236" s="194"/>
      <c r="BA236" s="194"/>
      <c r="BB236" s="194"/>
      <c r="BC236" s="194"/>
      <c r="BD236" s="194"/>
      <c r="BE236" s="194"/>
      <c r="BF236" s="194"/>
      <c r="BG236" s="194"/>
      <c r="BH236" s="194"/>
      <c r="BI236" s="194"/>
      <c r="BJ236" s="194"/>
      <c r="BK236" s="194"/>
      <c r="BL236" s="194"/>
      <c r="BM236" s="194"/>
      <c r="BN236" s="194"/>
      <c r="BO236" s="194"/>
      <c r="BP236" s="194"/>
      <c r="BQ236" s="194"/>
      <c r="BR236" s="194"/>
      <c r="BS236" s="194"/>
      <c r="BT236" s="194"/>
      <c r="BU236" s="194"/>
      <c r="BV236" s="194"/>
      <c r="BW236" s="194"/>
      <c r="BX236" s="194"/>
      <c r="BY236" s="194"/>
      <c r="BZ236" s="194"/>
      <c r="CA236" s="194"/>
      <c r="CB236" s="194"/>
      <c r="CC236" s="194"/>
      <c r="CD236" s="194"/>
      <c r="CE236" s="194"/>
      <c r="CF236" s="194"/>
      <c r="CG236" s="194"/>
      <c r="CH236" s="194"/>
      <c r="CI236" s="194"/>
      <c r="CJ236" s="194"/>
      <c r="CK236" s="194"/>
      <c r="CL236" s="194"/>
      <c r="CM236" s="194"/>
      <c r="CN236" s="194"/>
      <c r="CO236" s="194"/>
      <c r="CP236" s="194"/>
      <c r="CQ236" s="194"/>
      <c r="CR236" s="194"/>
      <c r="CS236" s="194"/>
      <c r="CT236" s="194"/>
      <c r="CU236" s="194"/>
      <c r="CV236" s="194"/>
      <c r="CW236" s="194"/>
    </row>
    <row r="237" spans="1:101" s="195" customFormat="1" x14ac:dyDescent="0.25">
      <c r="A237" s="218" t="s">
        <v>90</v>
      </c>
      <c r="B237" s="219"/>
      <c r="C237" s="220"/>
      <c r="D237" s="494"/>
      <c r="E237" s="494">
        <f>'Client Input'!B87</f>
        <v>22073169</v>
      </c>
      <c r="F237" s="494">
        <f>'Client Input'!C87</f>
        <v>62659358</v>
      </c>
      <c r="G237" s="494">
        <f>'Client Input'!D87</f>
        <v>50888204</v>
      </c>
      <c r="H237" s="494">
        <f>'Client Input'!E87</f>
        <v>0</v>
      </c>
      <c r="I237" s="494">
        <f>'Client Input'!F87</f>
        <v>0</v>
      </c>
      <c r="J237" s="494">
        <f>'Client Input'!G87</f>
        <v>0</v>
      </c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4"/>
      <c r="AL237" s="194"/>
      <c r="AM237" s="194"/>
      <c r="AN237" s="194"/>
      <c r="AO237" s="194"/>
      <c r="AP237" s="194"/>
      <c r="AQ237" s="194"/>
      <c r="AR237" s="194"/>
      <c r="AS237" s="194"/>
      <c r="AT237" s="194"/>
      <c r="AU237" s="194"/>
      <c r="AV237" s="194"/>
      <c r="AW237" s="194"/>
      <c r="AX237" s="194"/>
      <c r="AY237" s="194"/>
      <c r="AZ237" s="194"/>
      <c r="BA237" s="194"/>
      <c r="BB237" s="194"/>
      <c r="BC237" s="194"/>
      <c r="BD237" s="194"/>
      <c r="BE237" s="194"/>
      <c r="BF237" s="194"/>
      <c r="BG237" s="194"/>
      <c r="BH237" s="194"/>
      <c r="BI237" s="194"/>
      <c r="BJ237" s="194"/>
      <c r="BK237" s="194"/>
      <c r="BL237" s="194"/>
      <c r="BM237" s="194"/>
      <c r="BN237" s="194"/>
      <c r="BO237" s="194"/>
      <c r="BP237" s="194"/>
      <c r="BQ237" s="194"/>
      <c r="BR237" s="194"/>
      <c r="BS237" s="194"/>
      <c r="BT237" s="194"/>
      <c r="BU237" s="194"/>
      <c r="BV237" s="194"/>
      <c r="BW237" s="194"/>
      <c r="BX237" s="194"/>
      <c r="BY237" s="194"/>
      <c r="BZ237" s="194"/>
      <c r="CA237" s="194"/>
      <c r="CB237" s="194"/>
      <c r="CC237" s="194"/>
      <c r="CD237" s="194"/>
      <c r="CE237" s="194"/>
      <c r="CF237" s="194"/>
      <c r="CG237" s="194"/>
      <c r="CH237" s="194"/>
      <c r="CI237" s="194"/>
      <c r="CJ237" s="194"/>
      <c r="CK237" s="194"/>
      <c r="CL237" s="194"/>
      <c r="CM237" s="194"/>
      <c r="CN237" s="194"/>
      <c r="CO237" s="194"/>
      <c r="CP237" s="194"/>
      <c r="CQ237" s="194"/>
      <c r="CR237" s="194"/>
      <c r="CS237" s="194"/>
      <c r="CT237" s="194"/>
      <c r="CU237" s="194"/>
      <c r="CV237" s="194"/>
      <c r="CW237" s="194"/>
    </row>
    <row r="238" spans="1:101" s="195" customFormat="1" x14ac:dyDescent="0.25">
      <c r="A238" s="344" t="s">
        <v>426</v>
      </c>
      <c r="B238" s="345"/>
      <c r="C238" s="346">
        <f>AVERAGEIF(E238:J238, "&lt;&gt;0")</f>
        <v>0.21695066522462572</v>
      </c>
      <c r="D238" s="493"/>
      <c r="E238" s="347">
        <f>IFERROR(E237/D237-1,0)</f>
        <v>0</v>
      </c>
      <c r="F238" s="347">
        <f t="shared" ref="F238" si="460">IFERROR(F237/E237-1,0)</f>
        <v>1.8387114691143807</v>
      </c>
      <c r="G238" s="347">
        <f t="shared" ref="G238" si="461">IFERROR(G237/F237-1,0)</f>
        <v>-0.18785947344050347</v>
      </c>
      <c r="H238" s="347">
        <f t="shared" ref="H238" si="462">IFERROR(H237/G237-1,0)</f>
        <v>-1</v>
      </c>
      <c r="I238" s="347">
        <f t="shared" ref="I238" si="463">IFERROR(I237/H237-1,0)</f>
        <v>0</v>
      </c>
      <c r="J238" s="351">
        <f t="shared" ref="J238" si="464">IFERROR(J237/I237-1,0)</f>
        <v>0</v>
      </c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  <c r="AK238" s="194"/>
      <c r="AL238" s="194"/>
      <c r="AM238" s="194"/>
      <c r="AN238" s="194"/>
      <c r="AO238" s="194"/>
      <c r="AP238" s="194"/>
      <c r="AQ238" s="194"/>
      <c r="AR238" s="194"/>
      <c r="AS238" s="194"/>
      <c r="AT238" s="194"/>
      <c r="AU238" s="194"/>
      <c r="AV238" s="194"/>
      <c r="AW238" s="194"/>
      <c r="AX238" s="194"/>
      <c r="AY238" s="194"/>
      <c r="AZ238" s="194"/>
      <c r="BA238" s="194"/>
      <c r="BB238" s="194"/>
      <c r="BC238" s="194"/>
      <c r="BD238" s="194"/>
      <c r="BE238" s="194"/>
      <c r="BF238" s="194"/>
      <c r="BG238" s="194"/>
      <c r="BH238" s="194"/>
      <c r="BI238" s="194"/>
      <c r="BJ238" s="194"/>
      <c r="BK238" s="194"/>
      <c r="BL238" s="194"/>
      <c r="BM238" s="194"/>
      <c r="BN238" s="194"/>
      <c r="BO238" s="194"/>
      <c r="BP238" s="194"/>
      <c r="BQ238" s="194"/>
      <c r="BR238" s="194"/>
      <c r="BS238" s="194"/>
      <c r="BT238" s="194"/>
      <c r="BU238" s="194"/>
      <c r="BV238" s="194"/>
      <c r="BW238" s="194"/>
      <c r="BX238" s="194"/>
      <c r="BY238" s="194"/>
      <c r="BZ238" s="194"/>
      <c r="CA238" s="194"/>
      <c r="CB238" s="194"/>
      <c r="CC238" s="194"/>
      <c r="CD238" s="194"/>
      <c r="CE238" s="194"/>
      <c r="CF238" s="194"/>
      <c r="CG238" s="194"/>
      <c r="CH238" s="194"/>
      <c r="CI238" s="194"/>
      <c r="CJ238" s="194"/>
      <c r="CK238" s="194"/>
      <c r="CL238" s="194"/>
      <c r="CM238" s="194"/>
      <c r="CN238" s="194"/>
      <c r="CO238" s="194"/>
      <c r="CP238" s="194"/>
      <c r="CQ238" s="194"/>
      <c r="CR238" s="194"/>
      <c r="CS238" s="194"/>
      <c r="CT238" s="194"/>
      <c r="CU238" s="194"/>
      <c r="CV238" s="194"/>
      <c r="CW238" s="194"/>
    </row>
    <row r="239" spans="1:101" s="195" customFormat="1" x14ac:dyDescent="0.25">
      <c r="A239" s="218" t="s">
        <v>91</v>
      </c>
      <c r="B239" s="219"/>
      <c r="C239" s="220"/>
      <c r="D239" s="494">
        <v>0</v>
      </c>
      <c r="E239" s="494">
        <f>'Client Input'!B88</f>
        <v>0</v>
      </c>
      <c r="F239" s="494">
        <f>'Client Input'!C88</f>
        <v>0</v>
      </c>
      <c r="G239" s="494">
        <f>'Client Input'!D88</f>
        <v>0</v>
      </c>
      <c r="H239" s="494">
        <f>'Client Input'!E88</f>
        <v>0</v>
      </c>
      <c r="I239" s="494">
        <f>'Client Input'!F88</f>
        <v>0</v>
      </c>
      <c r="J239" s="494">
        <f>'Client Input'!G88</f>
        <v>0</v>
      </c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  <c r="AK239" s="194"/>
      <c r="AL239" s="194"/>
      <c r="AM239" s="194"/>
      <c r="AN239" s="194"/>
      <c r="AO239" s="194"/>
      <c r="AP239" s="194"/>
      <c r="AQ239" s="194"/>
      <c r="AR239" s="194"/>
      <c r="AS239" s="194"/>
      <c r="AT239" s="194"/>
      <c r="AU239" s="194"/>
      <c r="AV239" s="194"/>
      <c r="AW239" s="194"/>
      <c r="AX239" s="194"/>
      <c r="AY239" s="194"/>
      <c r="AZ239" s="194"/>
      <c r="BA239" s="194"/>
      <c r="BB239" s="194"/>
      <c r="BC239" s="194"/>
      <c r="BD239" s="194"/>
      <c r="BE239" s="194"/>
      <c r="BF239" s="194"/>
      <c r="BG239" s="194"/>
      <c r="BH239" s="194"/>
      <c r="BI239" s="194"/>
      <c r="BJ239" s="194"/>
      <c r="BK239" s="194"/>
      <c r="BL239" s="194"/>
      <c r="BM239" s="194"/>
      <c r="BN239" s="194"/>
      <c r="BO239" s="194"/>
      <c r="BP239" s="194"/>
      <c r="BQ239" s="194"/>
      <c r="BR239" s="194"/>
      <c r="BS239" s="194"/>
      <c r="BT239" s="194"/>
      <c r="BU239" s="194"/>
      <c r="BV239" s="194"/>
      <c r="BW239" s="194"/>
      <c r="BX239" s="194"/>
      <c r="BY239" s="194"/>
      <c r="BZ239" s="194"/>
      <c r="CA239" s="194"/>
      <c r="CB239" s="194"/>
      <c r="CC239" s="194"/>
      <c r="CD239" s="194"/>
      <c r="CE239" s="194"/>
      <c r="CF239" s="194"/>
      <c r="CG239" s="194"/>
      <c r="CH239" s="194"/>
      <c r="CI239" s="194"/>
      <c r="CJ239" s="194"/>
      <c r="CK239" s="194"/>
      <c r="CL239" s="194"/>
      <c r="CM239" s="194"/>
      <c r="CN239" s="194"/>
      <c r="CO239" s="194"/>
      <c r="CP239" s="194"/>
      <c r="CQ239" s="194"/>
      <c r="CR239" s="194"/>
      <c r="CS239" s="194"/>
      <c r="CT239" s="194"/>
      <c r="CU239" s="194"/>
      <c r="CV239" s="194"/>
      <c r="CW239" s="194"/>
    </row>
    <row r="240" spans="1:101" s="195" customFormat="1" x14ac:dyDescent="0.25">
      <c r="A240" s="344" t="s">
        <v>426</v>
      </c>
      <c r="B240" s="345"/>
      <c r="C240" s="346" t="e">
        <f>AVERAGEIF(E240:J240, "&lt;&gt;0")</f>
        <v>#DIV/0!</v>
      </c>
      <c r="D240" s="493"/>
      <c r="E240" s="347">
        <f>IFERROR(E239/D239-1,0)</f>
        <v>0</v>
      </c>
      <c r="F240" s="347">
        <f t="shared" ref="F240" si="465">IFERROR(F239/E239-1,0)</f>
        <v>0</v>
      </c>
      <c r="G240" s="347">
        <f t="shared" ref="G240" si="466">IFERROR(G239/F239-1,0)</f>
        <v>0</v>
      </c>
      <c r="H240" s="347">
        <f t="shared" ref="H240" si="467">IFERROR(H239/G239-1,0)</f>
        <v>0</v>
      </c>
      <c r="I240" s="347">
        <f t="shared" ref="I240" si="468">IFERROR(I239/H239-1,0)</f>
        <v>0</v>
      </c>
      <c r="J240" s="351">
        <f t="shared" ref="J240" si="469">IFERROR(J239/I239-1,0)</f>
        <v>0</v>
      </c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4"/>
      <c r="AL240" s="194"/>
      <c r="AM240" s="194"/>
      <c r="AN240" s="194"/>
      <c r="AO240" s="194"/>
      <c r="AP240" s="194"/>
      <c r="AQ240" s="194"/>
      <c r="AR240" s="194"/>
      <c r="AS240" s="194"/>
      <c r="AT240" s="194"/>
      <c r="AU240" s="194"/>
      <c r="AV240" s="194"/>
      <c r="AW240" s="194"/>
      <c r="AX240" s="194"/>
      <c r="AY240" s="194"/>
      <c r="AZ240" s="194"/>
      <c r="BA240" s="194"/>
      <c r="BB240" s="194"/>
      <c r="BC240" s="194"/>
      <c r="BD240" s="194"/>
      <c r="BE240" s="194"/>
      <c r="BF240" s="194"/>
      <c r="BG240" s="194"/>
      <c r="BH240" s="194"/>
      <c r="BI240" s="194"/>
      <c r="BJ240" s="194"/>
      <c r="BK240" s="194"/>
      <c r="BL240" s="194"/>
      <c r="BM240" s="194"/>
      <c r="BN240" s="194"/>
      <c r="BO240" s="194"/>
      <c r="BP240" s="194"/>
      <c r="BQ240" s="194"/>
      <c r="BR240" s="194"/>
      <c r="BS240" s="194"/>
      <c r="BT240" s="194"/>
      <c r="BU240" s="194"/>
      <c r="BV240" s="194"/>
      <c r="BW240" s="194"/>
      <c r="BX240" s="194"/>
      <c r="BY240" s="194"/>
      <c r="BZ240" s="194"/>
      <c r="CA240" s="194"/>
      <c r="CB240" s="194"/>
      <c r="CC240" s="194"/>
      <c r="CD240" s="194"/>
      <c r="CE240" s="194"/>
      <c r="CF240" s="194"/>
      <c r="CG240" s="194"/>
      <c r="CH240" s="194"/>
      <c r="CI240" s="194"/>
      <c r="CJ240" s="194"/>
      <c r="CK240" s="194"/>
      <c r="CL240" s="194"/>
      <c r="CM240" s="194"/>
      <c r="CN240" s="194"/>
      <c r="CO240" s="194"/>
      <c r="CP240" s="194"/>
      <c r="CQ240" s="194"/>
      <c r="CR240" s="194"/>
      <c r="CS240" s="194"/>
      <c r="CT240" s="194"/>
      <c r="CU240" s="194"/>
      <c r="CV240" s="194"/>
      <c r="CW240" s="194"/>
    </row>
    <row r="241" spans="1:101" x14ac:dyDescent="0.25">
      <c r="A241" s="289"/>
      <c r="B241" s="290"/>
      <c r="C241" s="291"/>
      <c r="D241" s="503"/>
      <c r="E241" s="503"/>
      <c r="F241" s="503"/>
      <c r="G241" s="512"/>
      <c r="H241" s="512"/>
      <c r="I241" s="512"/>
      <c r="J241" s="501"/>
    </row>
    <row r="242" spans="1:101" x14ac:dyDescent="0.25">
      <c r="A242" s="786" t="s">
        <v>92</v>
      </c>
      <c r="B242" s="787"/>
      <c r="C242" s="788"/>
      <c r="D242" s="499">
        <f t="shared" ref="D242:J242" si="470">D218+D228+SUM(D231+D233+D235+D237+D239)</f>
        <v>0</v>
      </c>
      <c r="E242" s="499">
        <f t="shared" si="470"/>
        <v>757935073</v>
      </c>
      <c r="F242" s="499">
        <f t="shared" si="470"/>
        <v>1336742646</v>
      </c>
      <c r="G242" s="499">
        <f t="shared" si="470"/>
        <v>1632920174</v>
      </c>
      <c r="H242" s="499">
        <f t="shared" si="470"/>
        <v>1301967845.0526028</v>
      </c>
      <c r="I242" s="499">
        <f t="shared" si="470"/>
        <v>1365748013.2578633</v>
      </c>
      <c r="J242" s="499">
        <f t="shared" si="470"/>
        <v>1512504906.1035013</v>
      </c>
    </row>
    <row r="243" spans="1:101" x14ac:dyDescent="0.25">
      <c r="A243" s="344" t="s">
        <v>426</v>
      </c>
      <c r="B243" s="345"/>
      <c r="C243" s="346">
        <f>AVERAGEIF(E243:J243, "&lt;&gt;0")</f>
        <v>0.18779961817864604</v>
      </c>
      <c r="D243" s="493"/>
      <c r="E243" s="347">
        <f>IFERROR(E242/D242-1,0)</f>
        <v>0</v>
      </c>
      <c r="F243" s="347">
        <f t="shared" ref="F243" si="471">IFERROR(F242/E242-1,0)</f>
        <v>0.76366379340252544</v>
      </c>
      <c r="G243" s="347">
        <f t="shared" ref="G243" si="472">IFERROR(G242/F242-1,0)</f>
        <v>0.22156660362880354</v>
      </c>
      <c r="H243" s="347">
        <f t="shared" ref="H243" si="473">IFERROR(H242/G242-1,0)</f>
        <v>-0.20267514249437968</v>
      </c>
      <c r="I243" s="347">
        <f t="shared" ref="I243" si="474">IFERROR(I242/H242-1,0)</f>
        <v>4.8987514129186227E-2</v>
      </c>
      <c r="J243" s="351">
        <f t="shared" ref="J243" si="475">IFERROR(J242/I242-1,0)</f>
        <v>0.10745532222709464</v>
      </c>
    </row>
    <row r="244" spans="1:101" x14ac:dyDescent="0.25">
      <c r="A244" s="6"/>
      <c r="B244" s="293"/>
      <c r="C244" s="294"/>
      <c r="D244" s="538"/>
      <c r="E244" s="539"/>
      <c r="F244" s="539"/>
      <c r="G244" s="538"/>
      <c r="H244" s="540"/>
      <c r="I244" s="540"/>
      <c r="J244" s="541"/>
    </row>
    <row r="245" spans="1:101" s="195" customFormat="1" x14ac:dyDescent="0.25">
      <c r="A245" s="218" t="s">
        <v>93</v>
      </c>
      <c r="B245" s="219"/>
      <c r="C245" s="220"/>
      <c r="D245" s="494"/>
      <c r="E245" s="494">
        <f>'Client Input'!B89</f>
        <v>0</v>
      </c>
      <c r="F245" s="494">
        <f>'Client Input'!C89</f>
        <v>0</v>
      </c>
      <c r="G245" s="494">
        <f>'Client Input'!D89</f>
        <v>0</v>
      </c>
      <c r="H245" s="494">
        <f>'Client Input'!E89</f>
        <v>0</v>
      </c>
      <c r="I245" s="494">
        <f>'Client Input'!F89</f>
        <v>0</v>
      </c>
      <c r="J245" s="494">
        <f>'Client Input'!G89</f>
        <v>0</v>
      </c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4"/>
      <c r="AL245" s="194"/>
      <c r="AM245" s="194"/>
      <c r="AN245" s="194"/>
      <c r="AO245" s="194"/>
      <c r="AP245" s="194"/>
      <c r="AQ245" s="194"/>
      <c r="AR245" s="194"/>
      <c r="AS245" s="194"/>
      <c r="AT245" s="194"/>
      <c r="AU245" s="194"/>
      <c r="AV245" s="194"/>
      <c r="AW245" s="194"/>
      <c r="AX245" s="194"/>
      <c r="AY245" s="194"/>
      <c r="AZ245" s="194"/>
      <c r="BA245" s="194"/>
      <c r="BB245" s="194"/>
      <c r="BC245" s="194"/>
      <c r="BD245" s="194"/>
      <c r="BE245" s="194"/>
      <c r="BF245" s="194"/>
      <c r="BG245" s="194"/>
      <c r="BH245" s="194"/>
      <c r="BI245" s="194"/>
      <c r="BJ245" s="194"/>
      <c r="BK245" s="194"/>
      <c r="BL245" s="194"/>
      <c r="BM245" s="194"/>
      <c r="BN245" s="194"/>
      <c r="BO245" s="194"/>
      <c r="BP245" s="194"/>
      <c r="BQ245" s="194"/>
      <c r="BR245" s="194"/>
      <c r="BS245" s="194"/>
      <c r="BT245" s="194"/>
      <c r="BU245" s="194"/>
      <c r="BV245" s="194"/>
      <c r="BW245" s="194"/>
      <c r="BX245" s="194"/>
      <c r="BY245" s="194"/>
      <c r="BZ245" s="194"/>
      <c r="CA245" s="194"/>
      <c r="CB245" s="194"/>
      <c r="CC245" s="194"/>
      <c r="CD245" s="194"/>
      <c r="CE245" s="194"/>
      <c r="CF245" s="194"/>
      <c r="CG245" s="194"/>
      <c r="CH245" s="194"/>
      <c r="CI245" s="194"/>
      <c r="CJ245" s="194"/>
      <c r="CK245" s="194"/>
      <c r="CL245" s="194"/>
      <c r="CM245" s="194"/>
      <c r="CN245" s="194"/>
      <c r="CO245" s="194"/>
      <c r="CP245" s="194"/>
      <c r="CQ245" s="194"/>
      <c r="CR245" s="194"/>
      <c r="CS245" s="194"/>
      <c r="CT245" s="194"/>
      <c r="CU245" s="194"/>
      <c r="CV245" s="194"/>
      <c r="CW245" s="194"/>
    </row>
    <row r="246" spans="1:101" s="195" customFormat="1" x14ac:dyDescent="0.25">
      <c r="A246" s="344" t="s">
        <v>426</v>
      </c>
      <c r="B246" s="345"/>
      <c r="C246" s="346" t="e">
        <f>AVERAGEIF(E246:J246, "&lt;&gt;0")</f>
        <v>#DIV/0!</v>
      </c>
      <c r="D246" s="493"/>
      <c r="E246" s="347">
        <f>IFERROR(E245/D245-1,0)</f>
        <v>0</v>
      </c>
      <c r="F246" s="347">
        <f t="shared" ref="F246" si="476">IFERROR(F245/E245-1,0)</f>
        <v>0</v>
      </c>
      <c r="G246" s="347">
        <f t="shared" ref="G246" si="477">IFERROR(G245/F245-1,0)</f>
        <v>0</v>
      </c>
      <c r="H246" s="347">
        <f t="shared" ref="H246" si="478">IFERROR(H245/G245-1,0)</f>
        <v>0</v>
      </c>
      <c r="I246" s="347">
        <f t="shared" ref="I246" si="479">IFERROR(I245/H245-1,0)</f>
        <v>0</v>
      </c>
      <c r="J246" s="351">
        <f t="shared" ref="J246" si="480">IFERROR(J245/I245-1,0)</f>
        <v>0</v>
      </c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  <c r="AR246" s="194"/>
      <c r="AS246" s="194"/>
      <c r="AT246" s="194"/>
      <c r="AU246" s="194"/>
      <c r="AV246" s="194"/>
      <c r="AW246" s="194"/>
      <c r="AX246" s="194"/>
      <c r="AY246" s="194"/>
      <c r="AZ246" s="194"/>
      <c r="BA246" s="194"/>
      <c r="BB246" s="194"/>
      <c r="BC246" s="194"/>
      <c r="BD246" s="194"/>
      <c r="BE246" s="194"/>
      <c r="BF246" s="194"/>
      <c r="BG246" s="194"/>
      <c r="BH246" s="194"/>
      <c r="BI246" s="194"/>
      <c r="BJ246" s="194"/>
      <c r="BK246" s="194"/>
      <c r="BL246" s="194"/>
      <c r="BM246" s="194"/>
      <c r="BN246" s="194"/>
      <c r="BO246" s="194"/>
      <c r="BP246" s="194"/>
      <c r="BQ246" s="194"/>
      <c r="BR246" s="194"/>
      <c r="BS246" s="194"/>
      <c r="BT246" s="194"/>
      <c r="BU246" s="194"/>
      <c r="BV246" s="194"/>
      <c r="BW246" s="194"/>
      <c r="BX246" s="194"/>
      <c r="BY246" s="194"/>
      <c r="BZ246" s="194"/>
      <c r="CA246" s="194"/>
      <c r="CB246" s="194"/>
      <c r="CC246" s="194"/>
      <c r="CD246" s="194"/>
      <c r="CE246" s="194"/>
      <c r="CF246" s="194"/>
      <c r="CG246" s="194"/>
      <c r="CH246" s="194"/>
      <c r="CI246" s="194"/>
      <c r="CJ246" s="194"/>
      <c r="CK246" s="194"/>
      <c r="CL246" s="194"/>
      <c r="CM246" s="194"/>
      <c r="CN246" s="194"/>
      <c r="CO246" s="194"/>
      <c r="CP246" s="194"/>
      <c r="CQ246" s="194"/>
      <c r="CR246" s="194"/>
      <c r="CS246" s="194"/>
      <c r="CT246" s="194"/>
      <c r="CU246" s="194"/>
      <c r="CV246" s="194"/>
      <c r="CW246" s="194"/>
    </row>
    <row r="247" spans="1:101" s="195" customFormat="1" x14ac:dyDescent="0.25">
      <c r="A247" s="218" t="s">
        <v>94</v>
      </c>
      <c r="B247" s="219"/>
      <c r="C247" s="220"/>
      <c r="D247" s="494">
        <v>0</v>
      </c>
      <c r="E247" s="494">
        <f>'Client Input'!B90</f>
        <v>0</v>
      </c>
      <c r="F247" s="494">
        <f>'Client Input'!C90</f>
        <v>0</v>
      </c>
      <c r="G247" s="494">
        <f>'Client Input'!D90</f>
        <v>0</v>
      </c>
      <c r="H247" s="494">
        <f>'Client Input'!E90</f>
        <v>0</v>
      </c>
      <c r="I247" s="494">
        <f>'Client Input'!F90</f>
        <v>0</v>
      </c>
      <c r="J247" s="494">
        <f>'Client Input'!G90</f>
        <v>0</v>
      </c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4"/>
      <c r="AL247" s="194"/>
      <c r="AM247" s="194"/>
      <c r="AN247" s="194"/>
      <c r="AO247" s="194"/>
      <c r="AP247" s="194"/>
      <c r="AQ247" s="194"/>
      <c r="AR247" s="194"/>
      <c r="AS247" s="194"/>
      <c r="AT247" s="194"/>
      <c r="AU247" s="194"/>
      <c r="AV247" s="194"/>
      <c r="AW247" s="194"/>
      <c r="AX247" s="194"/>
      <c r="AY247" s="194"/>
      <c r="AZ247" s="194"/>
      <c r="BA247" s="194"/>
      <c r="BB247" s="194"/>
      <c r="BC247" s="194"/>
      <c r="BD247" s="194"/>
      <c r="BE247" s="194"/>
      <c r="BF247" s="194"/>
      <c r="BG247" s="194"/>
      <c r="BH247" s="194"/>
      <c r="BI247" s="194"/>
      <c r="BJ247" s="194"/>
      <c r="BK247" s="194"/>
      <c r="BL247" s="194"/>
      <c r="BM247" s="194"/>
      <c r="BN247" s="194"/>
      <c r="BO247" s="194"/>
      <c r="BP247" s="194"/>
      <c r="BQ247" s="194"/>
      <c r="BR247" s="194"/>
      <c r="BS247" s="194"/>
      <c r="BT247" s="194"/>
      <c r="BU247" s="194"/>
      <c r="BV247" s="194"/>
      <c r="BW247" s="194"/>
      <c r="BX247" s="194"/>
      <c r="BY247" s="194"/>
      <c r="BZ247" s="194"/>
      <c r="CA247" s="194"/>
      <c r="CB247" s="194"/>
      <c r="CC247" s="194"/>
      <c r="CD247" s="194"/>
      <c r="CE247" s="194"/>
      <c r="CF247" s="194"/>
      <c r="CG247" s="194"/>
      <c r="CH247" s="194"/>
      <c r="CI247" s="194"/>
      <c r="CJ247" s="194"/>
      <c r="CK247" s="194"/>
      <c r="CL247" s="194"/>
      <c r="CM247" s="194"/>
      <c r="CN247" s="194"/>
      <c r="CO247" s="194"/>
      <c r="CP247" s="194"/>
      <c r="CQ247" s="194"/>
      <c r="CR247" s="194"/>
      <c r="CS247" s="194"/>
      <c r="CT247" s="194"/>
      <c r="CU247" s="194"/>
      <c r="CV247" s="194"/>
      <c r="CW247" s="194"/>
    </row>
    <row r="248" spans="1:101" s="195" customFormat="1" x14ac:dyDescent="0.25">
      <c r="A248" s="344" t="s">
        <v>426</v>
      </c>
      <c r="B248" s="345"/>
      <c r="C248" s="346" t="e">
        <f>AVERAGEIF(E248:J248, "&lt;&gt;0")</f>
        <v>#DIV/0!</v>
      </c>
      <c r="D248" s="493"/>
      <c r="E248" s="347">
        <f>IFERROR(E247/D247-1,0)</f>
        <v>0</v>
      </c>
      <c r="F248" s="347">
        <f t="shared" ref="F248" si="481">IFERROR(F247/E247-1,0)</f>
        <v>0</v>
      </c>
      <c r="G248" s="347">
        <f t="shared" ref="G248" si="482">IFERROR(G247/F247-1,0)</f>
        <v>0</v>
      </c>
      <c r="H248" s="347">
        <f t="shared" ref="H248" si="483">IFERROR(H247/G247-1,0)</f>
        <v>0</v>
      </c>
      <c r="I248" s="347">
        <f t="shared" ref="I248" si="484">IFERROR(I247/H247-1,0)</f>
        <v>0</v>
      </c>
      <c r="J248" s="351">
        <f t="shared" ref="J248" si="485">IFERROR(J247/I247-1,0)</f>
        <v>0</v>
      </c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4"/>
      <c r="AL248" s="194"/>
      <c r="AM248" s="194"/>
      <c r="AN248" s="194"/>
      <c r="AO248" s="194"/>
      <c r="AP248" s="194"/>
      <c r="AQ248" s="194"/>
      <c r="AR248" s="194"/>
      <c r="AS248" s="194"/>
      <c r="AT248" s="194"/>
      <c r="AU248" s="194"/>
      <c r="AV248" s="194"/>
      <c r="AW248" s="194"/>
      <c r="AX248" s="194"/>
      <c r="AY248" s="194"/>
      <c r="AZ248" s="194"/>
      <c r="BA248" s="194"/>
      <c r="BB248" s="194"/>
      <c r="BC248" s="194"/>
      <c r="BD248" s="194"/>
      <c r="BE248" s="194"/>
      <c r="BF248" s="194"/>
      <c r="BG248" s="194"/>
      <c r="BH248" s="194"/>
      <c r="BI248" s="194"/>
      <c r="BJ248" s="194"/>
      <c r="BK248" s="194"/>
      <c r="BL248" s="194"/>
      <c r="BM248" s="194"/>
      <c r="BN248" s="194"/>
      <c r="BO248" s="194"/>
      <c r="BP248" s="194"/>
      <c r="BQ248" s="194"/>
      <c r="BR248" s="194"/>
      <c r="BS248" s="194"/>
      <c r="BT248" s="194"/>
      <c r="BU248" s="194"/>
      <c r="BV248" s="194"/>
      <c r="BW248" s="194"/>
      <c r="BX248" s="194"/>
      <c r="BY248" s="194"/>
      <c r="BZ248" s="194"/>
      <c r="CA248" s="194"/>
      <c r="CB248" s="194"/>
      <c r="CC248" s="194"/>
      <c r="CD248" s="194"/>
      <c r="CE248" s="194"/>
      <c r="CF248" s="194"/>
      <c r="CG248" s="194"/>
      <c r="CH248" s="194"/>
      <c r="CI248" s="194"/>
      <c r="CJ248" s="194"/>
      <c r="CK248" s="194"/>
      <c r="CL248" s="194"/>
      <c r="CM248" s="194"/>
      <c r="CN248" s="194"/>
      <c r="CO248" s="194"/>
      <c r="CP248" s="194"/>
      <c r="CQ248" s="194"/>
      <c r="CR248" s="194"/>
      <c r="CS248" s="194"/>
      <c r="CT248" s="194"/>
      <c r="CU248" s="194"/>
      <c r="CV248" s="194"/>
      <c r="CW248" s="194"/>
    </row>
    <row r="249" spans="1:101" s="195" customFormat="1" x14ac:dyDescent="0.25">
      <c r="A249" s="218" t="s">
        <v>95</v>
      </c>
      <c r="B249" s="219"/>
      <c r="C249" s="220"/>
      <c r="D249" s="494">
        <v>0</v>
      </c>
      <c r="E249" s="494">
        <f>'Client Input'!B91</f>
        <v>393000000</v>
      </c>
      <c r="F249" s="494">
        <f>'Client Input'!C91</f>
        <v>393000000</v>
      </c>
      <c r="G249" s="494">
        <f>'Client Input'!D91</f>
        <v>393000000</v>
      </c>
      <c r="H249" s="494">
        <f>'Client Input'!E91</f>
        <v>595634715.89999998</v>
      </c>
      <c r="I249" s="494">
        <f>'Client Input'!F91</f>
        <v>595634715.89999998</v>
      </c>
      <c r="J249" s="494">
        <f>'Client Input'!G91</f>
        <v>595634715.89999998</v>
      </c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4"/>
      <c r="AL249" s="194"/>
      <c r="AM249" s="194"/>
      <c r="AN249" s="194"/>
      <c r="AO249" s="194"/>
      <c r="AP249" s="194"/>
      <c r="AQ249" s="194"/>
      <c r="AR249" s="194"/>
      <c r="AS249" s="194"/>
      <c r="AT249" s="194"/>
      <c r="AU249" s="194"/>
      <c r="AV249" s="194"/>
      <c r="AW249" s="194"/>
      <c r="AX249" s="194"/>
      <c r="AY249" s="194"/>
      <c r="AZ249" s="194"/>
      <c r="BA249" s="194"/>
      <c r="BB249" s="194"/>
      <c r="BC249" s="194"/>
      <c r="BD249" s="194"/>
      <c r="BE249" s="194"/>
      <c r="BF249" s="194"/>
      <c r="BG249" s="194"/>
      <c r="BH249" s="194"/>
      <c r="BI249" s="194"/>
      <c r="BJ249" s="194"/>
      <c r="BK249" s="194"/>
      <c r="BL249" s="194"/>
      <c r="BM249" s="194"/>
      <c r="BN249" s="194"/>
      <c r="BO249" s="194"/>
      <c r="BP249" s="194"/>
      <c r="BQ249" s="194"/>
      <c r="BR249" s="194"/>
      <c r="BS249" s="194"/>
      <c r="BT249" s="194"/>
      <c r="BU249" s="194"/>
      <c r="BV249" s="194"/>
      <c r="BW249" s="194"/>
      <c r="BX249" s="194"/>
      <c r="BY249" s="194"/>
      <c r="BZ249" s="194"/>
      <c r="CA249" s="194"/>
      <c r="CB249" s="194"/>
      <c r="CC249" s="194"/>
      <c r="CD249" s="194"/>
      <c r="CE249" s="194"/>
      <c r="CF249" s="194"/>
      <c r="CG249" s="194"/>
      <c r="CH249" s="194"/>
      <c r="CI249" s="194"/>
      <c r="CJ249" s="194"/>
      <c r="CK249" s="194"/>
      <c r="CL249" s="194"/>
      <c r="CM249" s="194"/>
      <c r="CN249" s="194"/>
      <c r="CO249" s="194"/>
      <c r="CP249" s="194"/>
      <c r="CQ249" s="194"/>
      <c r="CR249" s="194"/>
      <c r="CS249" s="194"/>
      <c r="CT249" s="194"/>
      <c r="CU249" s="194"/>
      <c r="CV249" s="194"/>
      <c r="CW249" s="194"/>
    </row>
    <row r="250" spans="1:101" s="195" customFormat="1" x14ac:dyDescent="0.25">
      <c r="A250" s="344" t="s">
        <v>426</v>
      </c>
      <c r="B250" s="345"/>
      <c r="C250" s="346">
        <f>AVERAGEIF(E250:J250, "&lt;&gt;0")</f>
        <v>0.51560996412213744</v>
      </c>
      <c r="D250" s="493"/>
      <c r="E250" s="347">
        <f>IFERROR(E249/D249-1,0)</f>
        <v>0</v>
      </c>
      <c r="F250" s="347">
        <f t="shared" ref="F250" si="486">IFERROR(F249/E249-1,0)</f>
        <v>0</v>
      </c>
      <c r="G250" s="347">
        <f t="shared" ref="G250" si="487">IFERROR(G249/F249-1,0)</f>
        <v>0</v>
      </c>
      <c r="H250" s="347">
        <f t="shared" ref="H250" si="488">IFERROR(H249/G249-1,0)</f>
        <v>0.51560996412213744</v>
      </c>
      <c r="I250" s="347">
        <f t="shared" ref="I250" si="489">IFERROR(I249/H249-1,0)</f>
        <v>0</v>
      </c>
      <c r="J250" s="351">
        <f t="shared" ref="J250" si="490">IFERROR(J249/I249-1,0)</f>
        <v>0</v>
      </c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4"/>
      <c r="AL250" s="194"/>
      <c r="AM250" s="194"/>
      <c r="AN250" s="194"/>
      <c r="AO250" s="194"/>
      <c r="AP250" s="194"/>
      <c r="AQ250" s="194"/>
      <c r="AR250" s="194"/>
      <c r="AS250" s="194"/>
      <c r="AT250" s="194"/>
      <c r="AU250" s="194"/>
      <c r="AV250" s="194"/>
      <c r="AW250" s="194"/>
      <c r="AX250" s="194"/>
      <c r="AY250" s="194"/>
      <c r="AZ250" s="194"/>
      <c r="BA250" s="194"/>
      <c r="BB250" s="194"/>
      <c r="BC250" s="194"/>
      <c r="BD250" s="194"/>
      <c r="BE250" s="194"/>
      <c r="BF250" s="194"/>
      <c r="BG250" s="194"/>
      <c r="BH250" s="194"/>
      <c r="BI250" s="194"/>
      <c r="BJ250" s="194"/>
      <c r="BK250" s="194"/>
      <c r="BL250" s="194"/>
      <c r="BM250" s="194"/>
      <c r="BN250" s="194"/>
      <c r="BO250" s="194"/>
      <c r="BP250" s="194"/>
      <c r="BQ250" s="194"/>
      <c r="BR250" s="194"/>
      <c r="BS250" s="194"/>
      <c r="BT250" s="194"/>
      <c r="BU250" s="194"/>
      <c r="BV250" s="194"/>
      <c r="BW250" s="194"/>
      <c r="BX250" s="194"/>
      <c r="BY250" s="194"/>
      <c r="BZ250" s="194"/>
      <c r="CA250" s="194"/>
      <c r="CB250" s="194"/>
      <c r="CC250" s="194"/>
      <c r="CD250" s="194"/>
      <c r="CE250" s="194"/>
      <c r="CF250" s="194"/>
      <c r="CG250" s="194"/>
      <c r="CH250" s="194"/>
      <c r="CI250" s="194"/>
      <c r="CJ250" s="194"/>
      <c r="CK250" s="194"/>
      <c r="CL250" s="194"/>
      <c r="CM250" s="194"/>
      <c r="CN250" s="194"/>
      <c r="CO250" s="194"/>
      <c r="CP250" s="194"/>
      <c r="CQ250" s="194"/>
      <c r="CR250" s="194"/>
      <c r="CS250" s="194"/>
      <c r="CT250" s="194"/>
      <c r="CU250" s="194"/>
      <c r="CV250" s="194"/>
      <c r="CW250" s="194"/>
    </row>
    <row r="251" spans="1:101" s="195" customFormat="1" x14ac:dyDescent="0.25">
      <c r="A251" s="218" t="s">
        <v>96</v>
      </c>
      <c r="B251" s="219"/>
      <c r="C251" s="220"/>
      <c r="D251" s="494"/>
      <c r="E251" s="494">
        <f>'Client Input'!B92</f>
        <v>0</v>
      </c>
      <c r="F251" s="494">
        <f>'Client Input'!C92</f>
        <v>0</v>
      </c>
      <c r="G251" s="494">
        <f>'Client Input'!D92</f>
        <v>0</v>
      </c>
      <c r="H251" s="494">
        <f>'Client Input'!E92</f>
        <v>0</v>
      </c>
      <c r="I251" s="494">
        <f>'Client Input'!F92</f>
        <v>0</v>
      </c>
      <c r="J251" s="494">
        <f>'Client Input'!G92</f>
        <v>0</v>
      </c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4"/>
      <c r="AL251" s="194"/>
      <c r="AM251" s="194"/>
      <c r="AN251" s="194"/>
      <c r="AO251" s="194"/>
      <c r="AP251" s="194"/>
      <c r="AQ251" s="194"/>
      <c r="AR251" s="194"/>
      <c r="AS251" s="194"/>
      <c r="AT251" s="194"/>
      <c r="AU251" s="194"/>
      <c r="AV251" s="194"/>
      <c r="AW251" s="194"/>
      <c r="AX251" s="194"/>
      <c r="AY251" s="194"/>
      <c r="AZ251" s="194"/>
      <c r="BA251" s="194"/>
      <c r="BB251" s="194"/>
      <c r="BC251" s="194"/>
      <c r="BD251" s="194"/>
      <c r="BE251" s="194"/>
      <c r="BF251" s="194"/>
      <c r="BG251" s="194"/>
      <c r="BH251" s="194"/>
      <c r="BI251" s="194"/>
      <c r="BJ251" s="194"/>
      <c r="BK251" s="194"/>
      <c r="BL251" s="194"/>
      <c r="BM251" s="194"/>
      <c r="BN251" s="194"/>
      <c r="BO251" s="194"/>
      <c r="BP251" s="194"/>
      <c r="BQ251" s="194"/>
      <c r="BR251" s="194"/>
      <c r="BS251" s="194"/>
      <c r="BT251" s="194"/>
      <c r="BU251" s="194"/>
      <c r="BV251" s="194"/>
      <c r="BW251" s="194"/>
      <c r="BX251" s="194"/>
      <c r="BY251" s="194"/>
      <c r="BZ251" s="194"/>
      <c r="CA251" s="194"/>
      <c r="CB251" s="194"/>
      <c r="CC251" s="194"/>
      <c r="CD251" s="194"/>
      <c r="CE251" s="194"/>
      <c r="CF251" s="194"/>
      <c r="CG251" s="194"/>
      <c r="CH251" s="194"/>
      <c r="CI251" s="194"/>
      <c r="CJ251" s="194"/>
      <c r="CK251" s="194"/>
      <c r="CL251" s="194"/>
      <c r="CM251" s="194"/>
      <c r="CN251" s="194"/>
      <c r="CO251" s="194"/>
      <c r="CP251" s="194"/>
      <c r="CQ251" s="194"/>
      <c r="CR251" s="194"/>
      <c r="CS251" s="194"/>
      <c r="CT251" s="194"/>
      <c r="CU251" s="194"/>
      <c r="CV251" s="194"/>
      <c r="CW251" s="194"/>
    </row>
    <row r="252" spans="1:101" s="195" customFormat="1" x14ac:dyDescent="0.25">
      <c r="A252" s="344" t="s">
        <v>426</v>
      </c>
      <c r="B252" s="345"/>
      <c r="C252" s="346" t="e">
        <f>AVERAGEIF(E252:J252, "&lt;&gt;0")</f>
        <v>#DIV/0!</v>
      </c>
      <c r="D252" s="493"/>
      <c r="E252" s="347">
        <f>IFERROR(E251/D251-1,0)</f>
        <v>0</v>
      </c>
      <c r="F252" s="347">
        <f t="shared" ref="F252" si="491">IFERROR(F251/E251-1,0)</f>
        <v>0</v>
      </c>
      <c r="G252" s="347">
        <f t="shared" ref="G252" si="492">IFERROR(G251/F251-1,0)</f>
        <v>0</v>
      </c>
      <c r="H252" s="347">
        <f t="shared" ref="H252" si="493">IFERROR(H251/G251-1,0)</f>
        <v>0</v>
      </c>
      <c r="I252" s="347">
        <f t="shared" ref="I252" si="494">IFERROR(I251/H251-1,0)</f>
        <v>0</v>
      </c>
      <c r="J252" s="351">
        <f t="shared" ref="J252" si="495">IFERROR(J251/I251-1,0)</f>
        <v>0</v>
      </c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  <c r="AK252" s="194"/>
      <c r="AL252" s="194"/>
      <c r="AM252" s="194"/>
      <c r="AN252" s="194"/>
      <c r="AO252" s="194"/>
      <c r="AP252" s="194"/>
      <c r="AQ252" s="194"/>
      <c r="AR252" s="194"/>
      <c r="AS252" s="194"/>
      <c r="AT252" s="194"/>
      <c r="AU252" s="194"/>
      <c r="AV252" s="194"/>
      <c r="AW252" s="194"/>
      <c r="AX252" s="194"/>
      <c r="AY252" s="194"/>
      <c r="AZ252" s="194"/>
      <c r="BA252" s="194"/>
      <c r="BB252" s="194"/>
      <c r="BC252" s="194"/>
      <c r="BD252" s="194"/>
      <c r="BE252" s="194"/>
      <c r="BF252" s="194"/>
      <c r="BG252" s="194"/>
      <c r="BH252" s="194"/>
      <c r="BI252" s="194"/>
      <c r="BJ252" s="194"/>
      <c r="BK252" s="194"/>
      <c r="BL252" s="194"/>
      <c r="BM252" s="194"/>
      <c r="BN252" s="194"/>
      <c r="BO252" s="194"/>
      <c r="BP252" s="194"/>
      <c r="BQ252" s="194"/>
      <c r="BR252" s="194"/>
      <c r="BS252" s="194"/>
      <c r="BT252" s="194"/>
      <c r="BU252" s="194"/>
      <c r="BV252" s="194"/>
      <c r="BW252" s="194"/>
      <c r="BX252" s="194"/>
      <c r="BY252" s="194"/>
      <c r="BZ252" s="194"/>
      <c r="CA252" s="194"/>
      <c r="CB252" s="194"/>
      <c r="CC252" s="194"/>
      <c r="CD252" s="194"/>
      <c r="CE252" s="194"/>
      <c r="CF252" s="194"/>
      <c r="CG252" s="194"/>
      <c r="CH252" s="194"/>
      <c r="CI252" s="194"/>
      <c r="CJ252" s="194"/>
      <c r="CK252" s="194"/>
      <c r="CL252" s="194"/>
      <c r="CM252" s="194"/>
      <c r="CN252" s="194"/>
      <c r="CO252" s="194"/>
      <c r="CP252" s="194"/>
      <c r="CQ252" s="194"/>
      <c r="CR252" s="194"/>
      <c r="CS252" s="194"/>
      <c r="CT252" s="194"/>
      <c r="CU252" s="194"/>
      <c r="CV252" s="194"/>
      <c r="CW252" s="194"/>
    </row>
    <row r="253" spans="1:101" x14ac:dyDescent="0.25">
      <c r="A253" s="795" t="s">
        <v>97</v>
      </c>
      <c r="B253" s="793"/>
      <c r="C253" s="794"/>
      <c r="D253" s="494">
        <f>'Client Input'!B93</f>
        <v>195548111</v>
      </c>
      <c r="E253" s="499">
        <f t="shared" ref="E253:J253" si="496">D262</f>
        <v>195548111</v>
      </c>
      <c r="F253" s="499">
        <f t="shared" si="496"/>
        <v>199915111.90000001</v>
      </c>
      <c r="G253" s="499">
        <f t="shared" si="496"/>
        <v>266236854.69999999</v>
      </c>
      <c r="H253" s="499">
        <f t="shared" si="496"/>
        <v>241342160.19999999</v>
      </c>
      <c r="I253" s="499">
        <f t="shared" si="496"/>
        <v>490621881.01333344</v>
      </c>
      <c r="J253" s="500">
        <f t="shared" si="496"/>
        <v>698441507.57337582</v>
      </c>
    </row>
    <row r="254" spans="1:101" x14ac:dyDescent="0.25">
      <c r="A254" s="344" t="s">
        <v>426</v>
      </c>
      <c r="B254" s="345"/>
      <c r="C254" s="346">
        <f>AVERAGEIF(E254:J254, "&lt;&gt;0")</f>
        <v>0.34340982979243756</v>
      </c>
      <c r="D254" s="622"/>
      <c r="E254" s="347">
        <f>IFERROR(E253/D253-1,0)</f>
        <v>0</v>
      </c>
      <c r="F254" s="347">
        <f t="shared" ref="F254" si="497">IFERROR(F253/E253-1,0)</f>
        <v>2.2332104757585736E-2</v>
      </c>
      <c r="G254" s="347">
        <f t="shared" ref="G254" si="498">IFERROR(G253/F253-1,0)</f>
        <v>0.33174952193296381</v>
      </c>
      <c r="H254" s="347">
        <f t="shared" ref="H254" si="499">IFERROR(H253/G253-1,0)</f>
        <v>-9.350581657093171E-2</v>
      </c>
      <c r="I254" s="347">
        <f t="shared" ref="I254" si="500">IFERROR(I253/H253-1,0)</f>
        <v>1.032889241592748</v>
      </c>
      <c r="J254" s="351">
        <f t="shared" ref="J254" si="501">IFERROR(J253/I253-1,0)</f>
        <v>0.42358409724982193</v>
      </c>
    </row>
    <row r="255" spans="1:101" x14ac:dyDescent="0.25">
      <c r="A255" s="859" t="s">
        <v>98</v>
      </c>
      <c r="B255" s="860"/>
      <c r="C255" s="861"/>
      <c r="D255" s="499">
        <f t="shared" ref="D255:J255" si="502">D81</f>
        <v>0</v>
      </c>
      <c r="E255" s="499">
        <f t="shared" si="502"/>
        <v>199915112</v>
      </c>
      <c r="F255" s="499">
        <f t="shared" si="502"/>
        <v>266236855</v>
      </c>
      <c r="G255" s="499">
        <f t="shared" si="502"/>
        <v>241342160</v>
      </c>
      <c r="H255" s="499">
        <f t="shared" si="502"/>
        <v>273413936.81333351</v>
      </c>
      <c r="I255" s="499">
        <f t="shared" si="502"/>
        <v>290024851.24137527</v>
      </c>
      <c r="J255" s="500">
        <f t="shared" si="502"/>
        <v>296267019.76308143</v>
      </c>
    </row>
    <row r="256" spans="1:101" x14ac:dyDescent="0.25">
      <c r="A256" s="344" t="s">
        <v>426</v>
      </c>
      <c r="B256" s="345"/>
      <c r="C256" s="346">
        <f>AVERAGEIF(E256:J256, "&lt;&gt;0")</f>
        <v>9.0681908794364524E-2</v>
      </c>
      <c r="D256" s="493"/>
      <c r="E256" s="347">
        <f>IFERROR(E255/D255-1,0)</f>
        <v>0</v>
      </c>
      <c r="F256" s="347">
        <f t="shared" ref="F256" si="503">IFERROR(F255/E255-1,0)</f>
        <v>0.33174952276744341</v>
      </c>
      <c r="G256" s="347">
        <f t="shared" ref="G256" si="504">IFERROR(G255/F255-1,0)</f>
        <v>-9.3505818343594838E-2</v>
      </c>
      <c r="H256" s="347">
        <f t="shared" ref="H256" si="505">IFERROR(H255/G255-1,0)</f>
        <v>0.13288924244870226</v>
      </c>
      <c r="I256" s="347">
        <f t="shared" ref="I256" si="506">IFERROR(I255/H255-1,0)</f>
        <v>6.0753722438744662E-2</v>
      </c>
      <c r="J256" s="351">
        <f t="shared" ref="J256" si="507">IFERROR(J255/I255-1,0)</f>
        <v>2.1522874660527158E-2</v>
      </c>
    </row>
    <row r="257" spans="1:101" x14ac:dyDescent="0.25">
      <c r="A257" s="859" t="s">
        <v>99</v>
      </c>
      <c r="B257" s="860"/>
      <c r="C257" s="861"/>
      <c r="D257" s="499">
        <f t="shared" ref="D257:J257" si="508">(+D83+D85)</f>
        <v>0</v>
      </c>
      <c r="E257" s="499">
        <f t="shared" si="508"/>
        <v>-175993300</v>
      </c>
      <c r="F257" s="499">
        <f t="shared" si="508"/>
        <v>-179923601</v>
      </c>
      <c r="G257" s="499">
        <f t="shared" si="508"/>
        <v>-239613169</v>
      </c>
      <c r="H257" s="499">
        <f>(+H83+H85)</f>
        <v>0</v>
      </c>
      <c r="I257" s="499">
        <f t="shared" si="508"/>
        <v>-54863831</v>
      </c>
      <c r="J257" s="500">
        <f t="shared" si="508"/>
        <v>0</v>
      </c>
    </row>
    <row r="258" spans="1:101" x14ac:dyDescent="0.25">
      <c r="A258" s="344" t="s">
        <v>426</v>
      </c>
      <c r="B258" s="345"/>
      <c r="C258" s="346">
        <f>AVERAGEIF(E258:J258, "&lt;&gt;0")</f>
        <v>-0.41147959391684519</v>
      </c>
      <c r="D258" s="493"/>
      <c r="E258" s="347">
        <f>IFERROR(E257/D257-1,0)</f>
        <v>0</v>
      </c>
      <c r="F258" s="347">
        <f t="shared" ref="F258" si="509">IFERROR(F257/E257-1,0)</f>
        <v>2.2332105824483195E-2</v>
      </c>
      <c r="G258" s="347">
        <f t="shared" ref="G258" si="510">IFERROR(G257/F257-1,0)</f>
        <v>0.33174951850813605</v>
      </c>
      <c r="H258" s="347">
        <f t="shared" ref="H258" si="511">IFERROR(H257/G257-1,0)</f>
        <v>-1</v>
      </c>
      <c r="I258" s="347">
        <f t="shared" ref="I258" si="512">IFERROR(I257/H257-1,0)</f>
        <v>0</v>
      </c>
      <c r="J258" s="351">
        <f t="shared" ref="J258" si="513">IFERROR(J257/I257-1,0)</f>
        <v>-1</v>
      </c>
    </row>
    <row r="259" spans="1:101" x14ac:dyDescent="0.25">
      <c r="A259" s="859" t="s">
        <v>100</v>
      </c>
      <c r="B259" s="860"/>
      <c r="C259" s="861"/>
      <c r="D259" s="499">
        <f t="shared" ref="D259:J259" si="514">D87</f>
        <v>0</v>
      </c>
      <c r="E259" s="499">
        <f t="shared" si="514"/>
        <v>-19554811.100000001</v>
      </c>
      <c r="F259" s="499">
        <f t="shared" si="514"/>
        <v>-19991511.199999988</v>
      </c>
      <c r="G259" s="499">
        <f t="shared" si="514"/>
        <v>-26623685.5</v>
      </c>
      <c r="H259" s="499">
        <f t="shared" si="514"/>
        <v>-24134216.00000003</v>
      </c>
      <c r="I259" s="499">
        <f t="shared" si="514"/>
        <v>-27341393.681332976</v>
      </c>
      <c r="J259" s="500">
        <f t="shared" si="514"/>
        <v>-29002485.124137998</v>
      </c>
    </row>
    <row r="260" spans="1:101" x14ac:dyDescent="0.25">
      <c r="A260" s="344" t="s">
        <v>426</v>
      </c>
      <c r="B260" s="345"/>
      <c r="C260" s="346">
        <f>AVERAGEIF(E260:J260, "&lt;&gt;0")</f>
        <v>9.084375491605616E-2</v>
      </c>
      <c r="D260" s="493"/>
      <c r="E260" s="347">
        <f>IFERROR(E259/D259-1,0)</f>
        <v>0</v>
      </c>
      <c r="F260" s="347">
        <f t="shared" ref="F260" si="515">IFERROR(F259/E259-1,0)</f>
        <v>2.2332105268968228E-2</v>
      </c>
      <c r="G260" s="347">
        <f t="shared" ref="G260" si="516">IFERROR(G259/F259-1,0)</f>
        <v>0.33174952276744429</v>
      </c>
      <c r="H260" s="347">
        <f t="shared" ref="H260" si="517">IFERROR(H259/G259-1,0)</f>
        <v>-9.3505818343593727E-2</v>
      </c>
      <c r="I260" s="347">
        <f t="shared" ref="I260" si="518">IFERROR(I259/H259-1,0)</f>
        <v>0.13288924244868539</v>
      </c>
      <c r="J260" s="351">
        <f t="shared" ref="J260" si="519">IFERROR(J259/I259-1,0)</f>
        <v>6.0753722438776636E-2</v>
      </c>
    </row>
    <row r="261" spans="1:101" x14ac:dyDescent="0.25">
      <c r="A261" s="289"/>
      <c r="B261" s="290"/>
      <c r="C261" s="291"/>
      <c r="D261" s="503"/>
      <c r="E261" s="503"/>
      <c r="F261" s="503"/>
      <c r="G261" s="512"/>
      <c r="H261" s="512"/>
      <c r="I261" s="512"/>
      <c r="J261" s="501"/>
    </row>
    <row r="262" spans="1:101" x14ac:dyDescent="0.25">
      <c r="A262" s="221" t="s">
        <v>101</v>
      </c>
      <c r="B262" s="287"/>
      <c r="C262" s="288"/>
      <c r="D262" s="499">
        <f>SUM(D255+D253+D257+D259)</f>
        <v>195548111</v>
      </c>
      <c r="E262" s="499">
        <f t="shared" ref="E262:J262" si="520">SUM(E255+E253+E257+E259)</f>
        <v>199915111.90000001</v>
      </c>
      <c r="F262" s="499">
        <f t="shared" si="520"/>
        <v>266236854.69999999</v>
      </c>
      <c r="G262" s="499">
        <f t="shared" si="520"/>
        <v>241342160.19999999</v>
      </c>
      <c r="H262" s="499">
        <f t="shared" si="520"/>
        <v>490621881.01333344</v>
      </c>
      <c r="I262" s="499">
        <f t="shared" si="520"/>
        <v>698441507.57337582</v>
      </c>
      <c r="J262" s="499">
        <f t="shared" si="520"/>
        <v>965706042.21231925</v>
      </c>
      <c r="L262" s="770"/>
    </row>
    <row r="263" spans="1:101" x14ac:dyDescent="0.25">
      <c r="A263" s="344" t="s">
        <v>426</v>
      </c>
      <c r="B263" s="345"/>
      <c r="C263" s="346">
        <f>AVERAGEIF(E263:J263, "&lt;&gt;0")</f>
        <v>0.34995126409198224</v>
      </c>
      <c r="D263" s="493"/>
      <c r="E263" s="347">
        <f>IFERROR(E262/D262-1,0)</f>
        <v>2.2332104757585736E-2</v>
      </c>
      <c r="F263" s="347">
        <f t="shared" ref="F263" si="521">IFERROR(F262/E262-1,0)</f>
        <v>0.33174952193296381</v>
      </c>
      <c r="G263" s="347">
        <f t="shared" ref="G263" si="522">IFERROR(G262/F262-1,0)</f>
        <v>-9.350581657093171E-2</v>
      </c>
      <c r="H263" s="347">
        <f t="shared" ref="H263" si="523">IFERROR(H262/G262-1,0)</f>
        <v>1.032889241592748</v>
      </c>
      <c r="I263" s="347">
        <f t="shared" ref="I263" si="524">IFERROR(I262/H262-1,0)</f>
        <v>0.42358409724982193</v>
      </c>
      <c r="J263" s="351">
        <f t="shared" ref="J263" si="525">IFERROR(J262/I262-1,0)</f>
        <v>0.38265843558970558</v>
      </c>
    </row>
    <row r="264" spans="1:101" x14ac:dyDescent="0.25">
      <c r="A264" s="221"/>
      <c r="B264" s="287"/>
      <c r="C264" s="288"/>
      <c r="D264" s="499"/>
      <c r="E264" s="499"/>
      <c r="F264" s="499"/>
      <c r="G264" s="499"/>
      <c r="H264" s="499"/>
      <c r="I264" s="499"/>
      <c r="J264" s="500"/>
    </row>
    <row r="265" spans="1:101" s="195" customFormat="1" x14ac:dyDescent="0.25">
      <c r="A265" s="218" t="s">
        <v>102</v>
      </c>
      <c r="B265" s="219"/>
      <c r="C265" s="220"/>
      <c r="D265" s="494">
        <v>0</v>
      </c>
      <c r="E265" s="494">
        <f>'Client Input'!B94</f>
        <v>137094487.09999999</v>
      </c>
      <c r="F265" s="494">
        <f>'Client Input'!C94</f>
        <v>157085998.29999998</v>
      </c>
      <c r="G265" s="494">
        <f>'Client Input'!D94</f>
        <v>183709683.79999998</v>
      </c>
      <c r="H265" s="494">
        <f>'Client Input'!E94</f>
        <v>207843899.80000001</v>
      </c>
      <c r="I265" s="494">
        <f>'Client Input'!F94</f>
        <v>235185293.48133299</v>
      </c>
      <c r="J265" s="494">
        <f>'Client Input'!G94</f>
        <v>264187778.60547099</v>
      </c>
      <c r="K265" s="194"/>
      <c r="L265" s="770"/>
      <c r="M265" s="770"/>
      <c r="N265" s="770"/>
      <c r="O265" s="770"/>
      <c r="P265" s="770"/>
      <c r="Q265" s="770"/>
      <c r="R265" s="770"/>
      <c r="S265" s="770"/>
      <c r="T265" s="770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4"/>
      <c r="AL265" s="194"/>
      <c r="AM265" s="194"/>
      <c r="AN265" s="194"/>
      <c r="AO265" s="194"/>
      <c r="AP265" s="194"/>
      <c r="AQ265" s="194"/>
      <c r="AR265" s="194"/>
      <c r="AS265" s="194"/>
      <c r="AT265" s="194"/>
      <c r="AU265" s="194"/>
      <c r="AV265" s="194"/>
      <c r="AW265" s="194"/>
      <c r="AX265" s="194"/>
      <c r="AY265" s="194"/>
      <c r="AZ265" s="194"/>
      <c r="BA265" s="194"/>
      <c r="BB265" s="194"/>
      <c r="BC265" s="194"/>
      <c r="BD265" s="194"/>
      <c r="BE265" s="194"/>
      <c r="BF265" s="194"/>
      <c r="BG265" s="194"/>
      <c r="BH265" s="194"/>
      <c r="BI265" s="194"/>
      <c r="BJ265" s="194"/>
      <c r="BK265" s="194"/>
      <c r="BL265" s="194"/>
      <c r="BM265" s="194"/>
      <c r="BN265" s="194"/>
      <c r="BO265" s="194"/>
      <c r="BP265" s="194"/>
      <c r="BQ265" s="194"/>
      <c r="BR265" s="194"/>
      <c r="BS265" s="194"/>
      <c r="BT265" s="194"/>
      <c r="BU265" s="194"/>
      <c r="BV265" s="194"/>
      <c r="BW265" s="194"/>
      <c r="BX265" s="194"/>
      <c r="BY265" s="194"/>
      <c r="BZ265" s="194"/>
      <c r="CA265" s="194"/>
      <c r="CB265" s="194"/>
      <c r="CC265" s="194"/>
      <c r="CD265" s="194"/>
      <c r="CE265" s="194"/>
      <c r="CF265" s="194"/>
      <c r="CG265" s="194"/>
      <c r="CH265" s="194"/>
      <c r="CI265" s="194"/>
      <c r="CJ265" s="194"/>
      <c r="CK265" s="194"/>
      <c r="CL265" s="194"/>
      <c r="CM265" s="194"/>
      <c r="CN265" s="194"/>
      <c r="CO265" s="194"/>
      <c r="CP265" s="194"/>
      <c r="CQ265" s="194"/>
      <c r="CR265" s="194"/>
      <c r="CS265" s="194"/>
      <c r="CT265" s="194"/>
      <c r="CU265" s="194"/>
      <c r="CV265" s="194"/>
      <c r="CW265" s="194"/>
    </row>
    <row r="266" spans="1:101" s="195" customFormat="1" x14ac:dyDescent="0.25">
      <c r="A266" s="344" t="s">
        <v>426</v>
      </c>
      <c r="B266" s="345"/>
      <c r="C266" s="346">
        <f>AVERAGEIF(E266:J266, "&lt;&gt;0")</f>
        <v>0.14030889395883372</v>
      </c>
      <c r="D266" s="493"/>
      <c r="E266" s="347">
        <f>IFERROR(E265/D265-1,0)</f>
        <v>0</v>
      </c>
      <c r="F266" s="347">
        <f t="shared" ref="F266" si="526">IFERROR(F265/E265-1,0)</f>
        <v>0.14582286730040206</v>
      </c>
      <c r="G266" s="347">
        <f t="shared" ref="G266" si="527">IFERROR(G265/F265-1,0)</f>
        <v>0.16948477768944481</v>
      </c>
      <c r="H266" s="347">
        <f t="shared" ref="H266" si="528">IFERROR(H265/G265-1,0)</f>
        <v>0.13137149605175047</v>
      </c>
      <c r="I266" s="347">
        <f t="shared" ref="I266" si="529">IFERROR(I265/H265-1,0)</f>
        <v>0.13154773225311178</v>
      </c>
      <c r="J266" s="351">
        <f t="shared" ref="J266" si="530">IFERROR(J265/I265-1,0)</f>
        <v>0.1233175964994595</v>
      </c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4"/>
      <c r="AL266" s="194"/>
      <c r="AM266" s="194"/>
      <c r="AN266" s="194"/>
      <c r="AO266" s="194"/>
      <c r="AP266" s="194"/>
      <c r="AQ266" s="194"/>
      <c r="AR266" s="194"/>
      <c r="AS266" s="194"/>
      <c r="AT266" s="194"/>
      <c r="AU266" s="194"/>
      <c r="AV266" s="194"/>
      <c r="AW266" s="194"/>
      <c r="AX266" s="194"/>
      <c r="AY266" s="194"/>
      <c r="AZ266" s="194"/>
      <c r="BA266" s="194"/>
      <c r="BB266" s="194"/>
      <c r="BC266" s="194"/>
      <c r="BD266" s="194"/>
      <c r="BE266" s="194"/>
      <c r="BF266" s="194"/>
      <c r="BG266" s="194"/>
      <c r="BH266" s="194"/>
      <c r="BI266" s="194"/>
      <c r="BJ266" s="194"/>
      <c r="BK266" s="194"/>
      <c r="BL266" s="194"/>
      <c r="BM266" s="194"/>
      <c r="BN266" s="194"/>
      <c r="BO266" s="194"/>
      <c r="BP266" s="194"/>
      <c r="BQ266" s="194"/>
      <c r="BR266" s="194"/>
      <c r="BS266" s="194"/>
      <c r="BT266" s="194"/>
      <c r="BU266" s="194"/>
      <c r="BV266" s="194"/>
      <c r="BW266" s="194"/>
      <c r="BX266" s="194"/>
      <c r="BY266" s="194"/>
      <c r="BZ266" s="194"/>
      <c r="CA266" s="194"/>
      <c r="CB266" s="194"/>
      <c r="CC266" s="194"/>
      <c r="CD266" s="194"/>
      <c r="CE266" s="194"/>
      <c r="CF266" s="194"/>
      <c r="CG266" s="194"/>
      <c r="CH266" s="194"/>
      <c r="CI266" s="194"/>
      <c r="CJ266" s="194"/>
      <c r="CK266" s="194"/>
      <c r="CL266" s="194"/>
      <c r="CM266" s="194"/>
      <c r="CN266" s="194"/>
      <c r="CO266" s="194"/>
      <c r="CP266" s="194"/>
      <c r="CQ266" s="194"/>
      <c r="CR266" s="194"/>
      <c r="CS266" s="194"/>
      <c r="CT266" s="194"/>
      <c r="CU266" s="194"/>
      <c r="CV266" s="194"/>
      <c r="CW266" s="194"/>
    </row>
    <row r="267" spans="1:101" s="195" customFormat="1" x14ac:dyDescent="0.25">
      <c r="A267" s="218" t="s">
        <v>103</v>
      </c>
      <c r="B267" s="219"/>
      <c r="C267" s="220"/>
      <c r="D267" s="494">
        <v>0</v>
      </c>
      <c r="E267" s="494">
        <f>'Client Input'!B95</f>
        <v>0</v>
      </c>
      <c r="F267" s="494">
        <f>'Client Input'!C95</f>
        <v>0</v>
      </c>
      <c r="G267" s="494">
        <f>'Client Input'!D95</f>
        <v>0</v>
      </c>
      <c r="H267" s="494">
        <f>'Client Input'!E95</f>
        <v>0</v>
      </c>
      <c r="I267" s="494">
        <f>'Client Input'!F95</f>
        <v>0</v>
      </c>
      <c r="J267" s="494">
        <f>'Client Input'!G95</f>
        <v>0</v>
      </c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4"/>
      <c r="AL267" s="194"/>
      <c r="AM267" s="194"/>
      <c r="AN267" s="194"/>
      <c r="AO267" s="194"/>
      <c r="AP267" s="194"/>
      <c r="AQ267" s="194"/>
      <c r="AR267" s="194"/>
      <c r="AS267" s="194"/>
      <c r="AT267" s="194"/>
      <c r="AU267" s="194"/>
      <c r="AV267" s="194"/>
      <c r="AW267" s="194"/>
      <c r="AX267" s="194"/>
      <c r="AY267" s="194"/>
      <c r="AZ267" s="194"/>
      <c r="BA267" s="194"/>
      <c r="BB267" s="194"/>
      <c r="BC267" s="194"/>
      <c r="BD267" s="194"/>
      <c r="BE267" s="194"/>
      <c r="BF267" s="194"/>
      <c r="BG267" s="194"/>
      <c r="BH267" s="194"/>
      <c r="BI267" s="194"/>
      <c r="BJ267" s="194"/>
      <c r="BK267" s="194"/>
      <c r="BL267" s="194"/>
      <c r="BM267" s="194"/>
      <c r="BN267" s="194"/>
      <c r="BO267" s="194"/>
      <c r="BP267" s="194"/>
      <c r="BQ267" s="194"/>
      <c r="BR267" s="194"/>
      <c r="BS267" s="194"/>
      <c r="BT267" s="194"/>
      <c r="BU267" s="194"/>
      <c r="BV267" s="194"/>
      <c r="BW267" s="194"/>
      <c r="BX267" s="194"/>
      <c r="BY267" s="194"/>
      <c r="BZ267" s="194"/>
      <c r="CA267" s="194"/>
      <c r="CB267" s="194"/>
      <c r="CC267" s="194"/>
      <c r="CD267" s="194"/>
      <c r="CE267" s="194"/>
      <c r="CF267" s="194"/>
      <c r="CG267" s="194"/>
      <c r="CH267" s="194"/>
      <c r="CI267" s="194"/>
      <c r="CJ267" s="194"/>
      <c r="CK267" s="194"/>
      <c r="CL267" s="194"/>
      <c r="CM267" s="194"/>
      <c r="CN267" s="194"/>
      <c r="CO267" s="194"/>
      <c r="CP267" s="194"/>
      <c r="CQ267" s="194"/>
      <c r="CR267" s="194"/>
      <c r="CS267" s="194"/>
      <c r="CT267" s="194"/>
      <c r="CU267" s="194"/>
      <c r="CV267" s="194"/>
      <c r="CW267" s="194"/>
    </row>
    <row r="268" spans="1:101" s="195" customFormat="1" x14ac:dyDescent="0.25">
      <c r="A268" s="344" t="s">
        <v>426</v>
      </c>
      <c r="B268" s="345"/>
      <c r="C268" s="346" t="e">
        <f>AVERAGEIF(E268:J268, "&lt;&gt;0")</f>
        <v>#DIV/0!</v>
      </c>
      <c r="D268" s="493"/>
      <c r="E268" s="347">
        <f>IFERROR(E267/D267-1,0)</f>
        <v>0</v>
      </c>
      <c r="F268" s="347">
        <f t="shared" ref="F268" si="531">IFERROR(F267/E267-1,0)</f>
        <v>0</v>
      </c>
      <c r="G268" s="347">
        <f t="shared" ref="G268" si="532">IFERROR(G267/F267-1,0)</f>
        <v>0</v>
      </c>
      <c r="H268" s="347">
        <f t="shared" ref="H268" si="533">IFERROR(H267/G267-1,0)</f>
        <v>0</v>
      </c>
      <c r="I268" s="347">
        <f t="shared" ref="I268" si="534">IFERROR(I267/H267-1,0)</f>
        <v>0</v>
      </c>
      <c r="J268" s="351">
        <f t="shared" ref="J268" si="535">IFERROR(J267/I267-1,0)</f>
        <v>0</v>
      </c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4"/>
      <c r="AL268" s="194"/>
      <c r="AM268" s="194"/>
      <c r="AN268" s="194"/>
      <c r="AO268" s="194"/>
      <c r="AP268" s="194"/>
      <c r="AQ268" s="194"/>
      <c r="AR268" s="194"/>
      <c r="AS268" s="194"/>
      <c r="AT268" s="194"/>
      <c r="AU268" s="194"/>
      <c r="AV268" s="194"/>
      <c r="AW268" s="194"/>
      <c r="AX268" s="194"/>
      <c r="AY268" s="194"/>
      <c r="AZ268" s="194"/>
      <c r="BA268" s="194"/>
      <c r="BB268" s="194"/>
      <c r="BC268" s="194"/>
      <c r="BD268" s="194"/>
      <c r="BE268" s="194"/>
      <c r="BF268" s="194"/>
      <c r="BG268" s="194"/>
      <c r="BH268" s="194"/>
      <c r="BI268" s="194"/>
      <c r="BJ268" s="194"/>
      <c r="BK268" s="194"/>
      <c r="BL268" s="194"/>
      <c r="BM268" s="194"/>
      <c r="BN268" s="194"/>
      <c r="BO268" s="194"/>
      <c r="BP268" s="194"/>
      <c r="BQ268" s="194"/>
      <c r="BR268" s="194"/>
      <c r="BS268" s="194"/>
      <c r="BT268" s="194"/>
      <c r="BU268" s="194"/>
      <c r="BV268" s="194"/>
      <c r="BW268" s="194"/>
      <c r="BX268" s="194"/>
      <c r="BY268" s="194"/>
      <c r="BZ268" s="194"/>
      <c r="CA268" s="194"/>
      <c r="CB268" s="194"/>
      <c r="CC268" s="194"/>
      <c r="CD268" s="194"/>
      <c r="CE268" s="194"/>
      <c r="CF268" s="194"/>
      <c r="CG268" s="194"/>
      <c r="CH268" s="194"/>
      <c r="CI268" s="194"/>
      <c r="CJ268" s="194"/>
      <c r="CK268" s="194"/>
      <c r="CL268" s="194"/>
      <c r="CM268" s="194"/>
      <c r="CN268" s="194"/>
      <c r="CO268" s="194"/>
      <c r="CP268" s="194"/>
      <c r="CQ268" s="194"/>
      <c r="CR268" s="194"/>
      <c r="CS268" s="194"/>
      <c r="CT268" s="194"/>
      <c r="CU268" s="194"/>
      <c r="CV268" s="194"/>
      <c r="CW268" s="194"/>
    </row>
    <row r="269" spans="1:101" s="195" customFormat="1" x14ac:dyDescent="0.25">
      <c r="A269" s="858" t="s">
        <v>1783</v>
      </c>
      <c r="B269" s="855"/>
      <c r="C269" s="856"/>
      <c r="D269" s="494"/>
      <c r="E269" s="494">
        <f>'Client Input'!B96</f>
        <v>0</v>
      </c>
      <c r="F269" s="494">
        <f>'Client Input'!C96</f>
        <v>0</v>
      </c>
      <c r="G269" s="494">
        <f>'Client Input'!D96</f>
        <v>0</v>
      </c>
      <c r="H269" s="494">
        <f>'Client Input'!E96</f>
        <v>0</v>
      </c>
      <c r="I269" s="494">
        <f>'Client Input'!F96</f>
        <v>0</v>
      </c>
      <c r="J269" s="494">
        <f>'Client Input'!G96</f>
        <v>0</v>
      </c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4"/>
      <c r="AL269" s="194"/>
      <c r="AM269" s="194"/>
      <c r="AN269" s="194"/>
      <c r="AO269" s="194"/>
      <c r="AP269" s="194"/>
      <c r="AQ269" s="194"/>
      <c r="AR269" s="194"/>
      <c r="AS269" s="194"/>
      <c r="AT269" s="194"/>
      <c r="AU269" s="194"/>
      <c r="AV269" s="194"/>
      <c r="AW269" s="194"/>
      <c r="AX269" s="194"/>
      <c r="AY269" s="194"/>
      <c r="AZ269" s="194"/>
      <c r="BA269" s="194"/>
      <c r="BB269" s="194"/>
      <c r="BC269" s="194"/>
      <c r="BD269" s="194"/>
      <c r="BE269" s="194"/>
      <c r="BF269" s="194"/>
      <c r="BG269" s="194"/>
      <c r="BH269" s="194"/>
      <c r="BI269" s="194"/>
      <c r="BJ269" s="194"/>
      <c r="BK269" s="194"/>
      <c r="BL269" s="194"/>
      <c r="BM269" s="194"/>
      <c r="BN269" s="194"/>
      <c r="BO269" s="194"/>
      <c r="BP269" s="194"/>
      <c r="BQ269" s="194"/>
      <c r="BR269" s="194"/>
      <c r="BS269" s="194"/>
      <c r="BT269" s="194"/>
      <c r="BU269" s="194"/>
      <c r="BV269" s="194"/>
      <c r="BW269" s="194"/>
      <c r="BX269" s="194"/>
      <c r="BY269" s="194"/>
      <c r="BZ269" s="194"/>
      <c r="CA269" s="194"/>
      <c r="CB269" s="194"/>
      <c r="CC269" s="194"/>
      <c r="CD269" s="194"/>
      <c r="CE269" s="194"/>
      <c r="CF269" s="194"/>
      <c r="CG269" s="194"/>
      <c r="CH269" s="194"/>
      <c r="CI269" s="194"/>
      <c r="CJ269" s="194"/>
      <c r="CK269" s="194"/>
      <c r="CL269" s="194"/>
      <c r="CM269" s="194"/>
      <c r="CN269" s="194"/>
      <c r="CO269" s="194"/>
      <c r="CP269" s="194"/>
      <c r="CQ269" s="194"/>
      <c r="CR269" s="194"/>
      <c r="CS269" s="194"/>
      <c r="CT269" s="194"/>
      <c r="CU269" s="194"/>
      <c r="CV269" s="194"/>
      <c r="CW269" s="194"/>
    </row>
    <row r="270" spans="1:101" s="195" customFormat="1" x14ac:dyDescent="0.25">
      <c r="A270" s="344" t="s">
        <v>426</v>
      </c>
      <c r="B270" s="345"/>
      <c r="C270" s="346" t="e">
        <f>AVERAGEIF(E270:J270, "&lt;&gt;0")</f>
        <v>#DIV/0!</v>
      </c>
      <c r="D270" s="493"/>
      <c r="E270" s="347">
        <f>IFERROR(E269/D269-1,0)</f>
        <v>0</v>
      </c>
      <c r="F270" s="347">
        <f t="shared" ref="F270" si="536">IFERROR(F269/E269-1,0)</f>
        <v>0</v>
      </c>
      <c r="G270" s="347">
        <f t="shared" ref="G270" si="537">IFERROR(G269/F269-1,0)</f>
        <v>0</v>
      </c>
      <c r="H270" s="347">
        <f t="shared" ref="H270" si="538">IFERROR(H269/G269-1,0)</f>
        <v>0</v>
      </c>
      <c r="I270" s="347">
        <f t="shared" ref="I270" si="539">IFERROR(I269/H269-1,0)</f>
        <v>0</v>
      </c>
      <c r="J270" s="351">
        <f t="shared" ref="J270" si="540">IFERROR(J269/I269-1,0)</f>
        <v>0</v>
      </c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4"/>
      <c r="AL270" s="194"/>
      <c r="AM270" s="194"/>
      <c r="AN270" s="194"/>
      <c r="AO270" s="194"/>
      <c r="AP270" s="194"/>
      <c r="AQ270" s="194"/>
      <c r="AR270" s="194"/>
      <c r="AS270" s="194"/>
      <c r="AT270" s="194"/>
      <c r="AU270" s="194"/>
      <c r="AV270" s="194"/>
      <c r="AW270" s="194"/>
      <c r="AX270" s="194"/>
      <c r="AY270" s="194"/>
      <c r="AZ270" s="194"/>
      <c r="BA270" s="194"/>
      <c r="BB270" s="194"/>
      <c r="BC270" s="194"/>
      <c r="BD270" s="194"/>
      <c r="BE270" s="194"/>
      <c r="BF270" s="194"/>
      <c r="BG270" s="194"/>
      <c r="BH270" s="194"/>
      <c r="BI270" s="194"/>
      <c r="BJ270" s="194"/>
      <c r="BK270" s="194"/>
      <c r="BL270" s="194"/>
      <c r="BM270" s="194"/>
      <c r="BN270" s="194"/>
      <c r="BO270" s="194"/>
      <c r="BP270" s="194"/>
      <c r="BQ270" s="194"/>
      <c r="BR270" s="194"/>
      <c r="BS270" s="194"/>
      <c r="BT270" s="194"/>
      <c r="BU270" s="194"/>
      <c r="BV270" s="194"/>
      <c r="BW270" s="194"/>
      <c r="BX270" s="194"/>
      <c r="BY270" s="194"/>
      <c r="BZ270" s="194"/>
      <c r="CA270" s="194"/>
      <c r="CB270" s="194"/>
      <c r="CC270" s="194"/>
      <c r="CD270" s="194"/>
      <c r="CE270" s="194"/>
      <c r="CF270" s="194"/>
      <c r="CG270" s="194"/>
      <c r="CH270" s="194"/>
      <c r="CI270" s="194"/>
      <c r="CJ270" s="194"/>
      <c r="CK270" s="194"/>
      <c r="CL270" s="194"/>
      <c r="CM270" s="194"/>
      <c r="CN270" s="194"/>
      <c r="CO270" s="194"/>
      <c r="CP270" s="194"/>
      <c r="CQ270" s="194"/>
      <c r="CR270" s="194"/>
      <c r="CS270" s="194"/>
      <c r="CT270" s="194"/>
      <c r="CU270" s="194"/>
      <c r="CV270" s="194"/>
      <c r="CW270" s="194"/>
    </row>
    <row r="271" spans="1:101" s="195" customFormat="1" x14ac:dyDescent="0.25">
      <c r="A271" s="795" t="s">
        <v>104</v>
      </c>
      <c r="B271" s="793"/>
      <c r="C271" s="794"/>
      <c r="D271" s="494">
        <v>0</v>
      </c>
      <c r="E271" s="494">
        <f>'Client Input'!B97</f>
        <v>0</v>
      </c>
      <c r="F271" s="494">
        <f>'Client Input'!C97</f>
        <v>0</v>
      </c>
      <c r="G271" s="494">
        <f>'Client Input'!D97</f>
        <v>0</v>
      </c>
      <c r="H271" s="494">
        <f>'Client Input'!E97</f>
        <v>0</v>
      </c>
      <c r="I271" s="494">
        <f>'Client Input'!F97</f>
        <v>0</v>
      </c>
      <c r="J271" s="494">
        <f>'Client Input'!G97</f>
        <v>0</v>
      </c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4"/>
      <c r="AL271" s="194"/>
      <c r="AM271" s="194"/>
      <c r="AN271" s="194"/>
      <c r="AO271" s="194"/>
      <c r="AP271" s="194"/>
      <c r="AQ271" s="194"/>
      <c r="AR271" s="194"/>
      <c r="AS271" s="194"/>
      <c r="AT271" s="194"/>
      <c r="AU271" s="194"/>
      <c r="AV271" s="194"/>
      <c r="AW271" s="194"/>
      <c r="AX271" s="194"/>
      <c r="AY271" s="194"/>
      <c r="AZ271" s="194"/>
      <c r="BA271" s="194"/>
      <c r="BB271" s="194"/>
      <c r="BC271" s="194"/>
      <c r="BD271" s="194"/>
      <c r="BE271" s="194"/>
      <c r="BF271" s="194"/>
      <c r="BG271" s="194"/>
      <c r="BH271" s="194"/>
      <c r="BI271" s="194"/>
      <c r="BJ271" s="194"/>
      <c r="BK271" s="194"/>
      <c r="BL271" s="194"/>
      <c r="BM271" s="194"/>
      <c r="BN271" s="194"/>
      <c r="BO271" s="194"/>
      <c r="BP271" s="194"/>
      <c r="BQ271" s="194"/>
      <c r="BR271" s="194"/>
      <c r="BS271" s="194"/>
      <c r="BT271" s="194"/>
      <c r="BU271" s="194"/>
      <c r="BV271" s="194"/>
      <c r="BW271" s="194"/>
      <c r="BX271" s="194"/>
      <c r="BY271" s="194"/>
      <c r="BZ271" s="194"/>
      <c r="CA271" s="194"/>
      <c r="CB271" s="194"/>
      <c r="CC271" s="194"/>
      <c r="CD271" s="194"/>
      <c r="CE271" s="194"/>
      <c r="CF271" s="194"/>
      <c r="CG271" s="194"/>
      <c r="CH271" s="194"/>
      <c r="CI271" s="194"/>
      <c r="CJ271" s="194"/>
      <c r="CK271" s="194"/>
      <c r="CL271" s="194"/>
      <c r="CM271" s="194"/>
      <c r="CN271" s="194"/>
      <c r="CO271" s="194"/>
      <c r="CP271" s="194"/>
      <c r="CQ271" s="194"/>
      <c r="CR271" s="194"/>
      <c r="CS271" s="194"/>
      <c r="CT271" s="194"/>
      <c r="CU271" s="194"/>
      <c r="CV271" s="194"/>
      <c r="CW271" s="194"/>
    </row>
    <row r="272" spans="1:101" s="195" customFormat="1" x14ac:dyDescent="0.25">
      <c r="A272" s="344" t="s">
        <v>426</v>
      </c>
      <c r="B272" s="345"/>
      <c r="C272" s="346" t="e">
        <f>AVERAGEIF(E272:J272, "&lt;&gt;0")</f>
        <v>#DIV/0!</v>
      </c>
      <c r="D272" s="493"/>
      <c r="E272" s="347">
        <f>IFERROR(E271/D271-1,0)</f>
        <v>0</v>
      </c>
      <c r="F272" s="347">
        <f t="shared" ref="F272" si="541">IFERROR(F271/E271-1,0)</f>
        <v>0</v>
      </c>
      <c r="G272" s="347">
        <f t="shared" ref="G272" si="542">IFERROR(G271/F271-1,0)</f>
        <v>0</v>
      </c>
      <c r="H272" s="347">
        <f t="shared" ref="H272" si="543">IFERROR(H271/G271-1,0)</f>
        <v>0</v>
      </c>
      <c r="I272" s="347">
        <f t="shared" ref="I272" si="544">IFERROR(I271/H271-1,0)</f>
        <v>0</v>
      </c>
      <c r="J272" s="351">
        <f t="shared" ref="J272" si="545">IFERROR(J271/I271-1,0)</f>
        <v>0</v>
      </c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4"/>
      <c r="AL272" s="194"/>
      <c r="AM272" s="194"/>
      <c r="AN272" s="194"/>
      <c r="AO272" s="194"/>
      <c r="AP272" s="194"/>
      <c r="AQ272" s="194"/>
      <c r="AR272" s="194"/>
      <c r="AS272" s="194"/>
      <c r="AT272" s="194"/>
      <c r="AU272" s="194"/>
      <c r="AV272" s="194"/>
      <c r="AW272" s="194"/>
      <c r="AX272" s="194"/>
      <c r="AY272" s="194"/>
      <c r="AZ272" s="194"/>
      <c r="BA272" s="194"/>
      <c r="BB272" s="194"/>
      <c r="BC272" s="194"/>
      <c r="BD272" s="194"/>
      <c r="BE272" s="194"/>
      <c r="BF272" s="194"/>
      <c r="BG272" s="194"/>
      <c r="BH272" s="194"/>
      <c r="BI272" s="194"/>
      <c r="BJ272" s="194"/>
      <c r="BK272" s="194"/>
      <c r="BL272" s="194"/>
      <c r="BM272" s="194"/>
      <c r="BN272" s="194"/>
      <c r="BO272" s="194"/>
      <c r="BP272" s="194"/>
      <c r="BQ272" s="194"/>
      <c r="BR272" s="194"/>
      <c r="BS272" s="194"/>
      <c r="BT272" s="194"/>
      <c r="BU272" s="194"/>
      <c r="BV272" s="194"/>
      <c r="BW272" s="194"/>
      <c r="BX272" s="194"/>
      <c r="BY272" s="194"/>
      <c r="BZ272" s="194"/>
      <c r="CA272" s="194"/>
      <c r="CB272" s="194"/>
      <c r="CC272" s="194"/>
      <c r="CD272" s="194"/>
      <c r="CE272" s="194"/>
      <c r="CF272" s="194"/>
      <c r="CG272" s="194"/>
      <c r="CH272" s="194"/>
      <c r="CI272" s="194"/>
      <c r="CJ272" s="194"/>
      <c r="CK272" s="194"/>
      <c r="CL272" s="194"/>
      <c r="CM272" s="194"/>
      <c r="CN272" s="194"/>
      <c r="CO272" s="194"/>
      <c r="CP272" s="194"/>
      <c r="CQ272" s="194"/>
      <c r="CR272" s="194"/>
      <c r="CS272" s="194"/>
      <c r="CT272" s="194"/>
      <c r="CU272" s="194"/>
      <c r="CV272" s="194"/>
      <c r="CW272" s="194"/>
    </row>
    <row r="273" spans="1:10" x14ac:dyDescent="0.25">
      <c r="A273" s="289"/>
      <c r="B273" s="290"/>
      <c r="C273" s="291"/>
      <c r="D273" s="529"/>
      <c r="E273" s="529"/>
      <c r="F273" s="529"/>
      <c r="G273" s="512"/>
      <c r="H273" s="512"/>
      <c r="I273" s="512"/>
      <c r="J273" s="501"/>
    </row>
    <row r="274" spans="1:10" x14ac:dyDescent="0.25">
      <c r="A274" s="789" t="s">
        <v>105</v>
      </c>
      <c r="B274" s="790"/>
      <c r="C274" s="791"/>
      <c r="D274" s="530">
        <f>SUM(D251+D249+D247)+SUM(D262+D265+D267+D269+D271)</f>
        <v>195548111</v>
      </c>
      <c r="E274" s="530">
        <f t="shared" ref="E274:I274" si="546">SUM(E251+E249+E247)+SUM(E262+E265+E267+E269+E271)</f>
        <v>730009599</v>
      </c>
      <c r="F274" s="530">
        <f t="shared" si="546"/>
        <v>816322853</v>
      </c>
      <c r="G274" s="530">
        <f t="shared" si="546"/>
        <v>818051844</v>
      </c>
      <c r="H274" s="530">
        <f t="shared" si="546"/>
        <v>1294100496.7133336</v>
      </c>
      <c r="I274" s="530">
        <f t="shared" si="546"/>
        <v>1529261516.9547088</v>
      </c>
      <c r="J274" s="530">
        <f>SUM(J251+J249+J247)+SUM(J262+J265+J267+J269+J271)</f>
        <v>1825528536.7177901</v>
      </c>
    </row>
    <row r="275" spans="1:10" x14ac:dyDescent="0.25">
      <c r="A275" s="344" t="s">
        <v>426</v>
      </c>
      <c r="B275" s="345"/>
      <c r="C275" s="346">
        <f>AVERAGEIF(E275:J275, "&lt;&gt;0")</f>
        <v>0.63514651032448777</v>
      </c>
      <c r="D275" s="493"/>
      <c r="E275" s="347">
        <f>IFERROR(E274/D274-1,0)</f>
        <v>2.733145747442173</v>
      </c>
      <c r="F275" s="347">
        <f t="shared" ref="F275" si="547">IFERROR(F274/E274-1,0)</f>
        <v>0.11823577952705788</v>
      </c>
      <c r="G275" s="347">
        <f t="shared" ref="G275" si="548">IFERROR(G274/F274-1,0)</f>
        <v>2.1180235168547501E-3</v>
      </c>
      <c r="H275" s="347">
        <f t="shared" ref="H275" si="549">IFERROR(H274/G274-1,0)</f>
        <v>0.58192968600329142</v>
      </c>
      <c r="I275" s="347">
        <f t="shared" ref="I275" si="550">IFERROR(I274/H274-1,0)</f>
        <v>0.18171774204447089</v>
      </c>
      <c r="J275" s="351">
        <f t="shared" ref="J275" si="551">IFERROR(J274/I274-1,0)</f>
        <v>0.1937320834130789</v>
      </c>
    </row>
    <row r="276" spans="1:10" x14ac:dyDescent="0.25">
      <c r="A276" s="789" t="s">
        <v>106</v>
      </c>
      <c r="B276" s="790"/>
      <c r="C276" s="791"/>
      <c r="D276" s="530">
        <f t="shared" ref="D276:J276" si="552">D274+D242+D245</f>
        <v>195548111</v>
      </c>
      <c r="E276" s="530">
        <f t="shared" si="552"/>
        <v>1487944672</v>
      </c>
      <c r="F276" s="530">
        <f t="shared" si="552"/>
        <v>2153065499</v>
      </c>
      <c r="G276" s="530">
        <f t="shared" si="552"/>
        <v>2450972018</v>
      </c>
      <c r="H276" s="530">
        <f>H274+H242+H245</f>
        <v>2596068341.7659364</v>
      </c>
      <c r="I276" s="530">
        <f t="shared" si="552"/>
        <v>2895009530.2125721</v>
      </c>
      <c r="J276" s="532">
        <f t="shared" si="552"/>
        <v>3338033442.8212914</v>
      </c>
    </row>
    <row r="277" spans="1:10" x14ac:dyDescent="0.25">
      <c r="A277" s="344" t="s">
        <v>426</v>
      </c>
      <c r="B277" s="345"/>
      <c r="C277" s="346">
        <f>AVERAGEIF(E277:J277, "&lt;&gt;0")</f>
        <v>1.2536415309724471</v>
      </c>
      <c r="D277" s="493"/>
      <c r="E277" s="347">
        <f>IFERROR(E276/D276-1,0)</f>
        <v>6.6090976506543706</v>
      </c>
      <c r="F277" s="347">
        <f t="shared" ref="F277" si="553">IFERROR(F276/E276-1,0)</f>
        <v>0.44700642403993895</v>
      </c>
      <c r="G277" s="347">
        <f t="shared" ref="G277" si="554">IFERROR(G276/F276-1,0)</f>
        <v>0.13836389052649056</v>
      </c>
      <c r="H277" s="347">
        <f t="shared" ref="H277" si="555">IFERROR(H276/G276-1,0)</f>
        <v>5.9199502360836931E-2</v>
      </c>
      <c r="I277" s="347">
        <f t="shared" ref="I277" si="556">IFERROR(I276/H276-1,0)</f>
        <v>0.1151515095489688</v>
      </c>
      <c r="J277" s="351">
        <f t="shared" ref="J277" si="557">IFERROR(J276/I276-1,0)</f>
        <v>0.15303020870407624</v>
      </c>
    </row>
    <row r="278" spans="1:10" ht="13.8" thickBot="1" x14ac:dyDescent="0.3">
      <c r="A278" s="277"/>
      <c r="B278" s="278"/>
      <c r="C278" s="279"/>
      <c r="D278" s="542"/>
      <c r="E278" s="542"/>
      <c r="F278" s="542"/>
      <c r="G278" s="542"/>
      <c r="H278" s="542"/>
      <c r="I278" s="542"/>
      <c r="J278" s="543"/>
    </row>
    <row r="279" spans="1:10" x14ac:dyDescent="0.25">
      <c r="A279" s="203" t="s">
        <v>70</v>
      </c>
      <c r="B279" s="203"/>
      <c r="C279" s="203"/>
      <c r="D279" s="544"/>
      <c r="E279" s="544"/>
      <c r="F279" s="544"/>
    </row>
    <row r="280" spans="1:10" ht="13.8" thickBot="1" x14ac:dyDescent="0.3">
      <c r="A280" s="196" t="s">
        <v>107</v>
      </c>
      <c r="B280" s="197"/>
      <c r="C280" s="198"/>
      <c r="D280" s="535" t="e">
        <f t="shared" ref="D280:J280" si="558">IF(D181&lt;1,NA(),+D181-D276)</f>
        <v>#N/A</v>
      </c>
      <c r="E280" s="656">
        <f t="shared" si="558"/>
        <v>0</v>
      </c>
      <c r="F280" s="656">
        <f t="shared" si="558"/>
        <v>0</v>
      </c>
      <c r="G280" s="656">
        <f t="shared" si="558"/>
        <v>0</v>
      </c>
      <c r="H280" s="656">
        <f>IF(H181&lt;1,NA(),+H181-H276)</f>
        <v>0.16803598403930664</v>
      </c>
      <c r="I280" s="656">
        <f t="shared" si="558"/>
        <v>-5.5948734283447266E-2</v>
      </c>
      <c r="J280" s="656">
        <f t="shared" si="558"/>
        <v>0.14834022521972656</v>
      </c>
    </row>
    <row r="281" spans="1:10" ht="13.5" hidden="1" customHeight="1" thickBot="1" x14ac:dyDescent="0.3">
      <c r="A281" s="204" t="s">
        <v>108</v>
      </c>
      <c r="B281" s="205"/>
      <c r="C281" s="206"/>
      <c r="D281" s="545" t="e">
        <f>NA()</f>
        <v>#N/A</v>
      </c>
      <c r="E281" s="545" t="e">
        <f>NA()</f>
        <v>#N/A</v>
      </c>
      <c r="F281" s="545" t="e">
        <f>NA()</f>
        <v>#N/A</v>
      </c>
    </row>
    <row r="282" spans="1:10" ht="12.75" customHeight="1" x14ac:dyDescent="0.25">
      <c r="A282" s="274"/>
      <c r="B282" s="275"/>
      <c r="C282" s="276"/>
      <c r="D282" s="784" t="str">
        <f>D186</f>
        <v>Abbas</v>
      </c>
      <c r="E282" s="784"/>
      <c r="F282" s="784"/>
      <c r="G282" s="784"/>
      <c r="H282" s="784"/>
      <c r="I282" s="784"/>
      <c r="J282" s="784"/>
    </row>
    <row r="283" spans="1:10" ht="18" customHeight="1" x14ac:dyDescent="0.3">
      <c r="A283" s="230"/>
      <c r="B283" s="232"/>
      <c r="C283" s="231" t="s">
        <v>109</v>
      </c>
      <c r="D283" s="784"/>
      <c r="E283" s="784"/>
      <c r="F283" s="784"/>
      <c r="G283" s="784"/>
      <c r="H283" s="784"/>
      <c r="I283" s="784"/>
      <c r="J283" s="784"/>
    </row>
    <row r="284" spans="1:10" x14ac:dyDescent="0.25">
      <c r="A284" s="331" t="str">
        <f>A188</f>
        <v>EGP</v>
      </c>
      <c r="B284" s="332"/>
      <c r="C284" s="333" t="str">
        <f>C188</f>
        <v>Units</v>
      </c>
      <c r="D284" s="484"/>
      <c r="E284" s="638">
        <f t="shared" ref="E284:J284" si="559">E188</f>
        <v>2014</v>
      </c>
      <c r="F284" s="638">
        <f t="shared" si="559"/>
        <v>2015</v>
      </c>
      <c r="G284" s="638">
        <f t="shared" si="559"/>
        <v>2016</v>
      </c>
      <c r="H284" s="638">
        <f t="shared" si="559"/>
        <v>2017</v>
      </c>
      <c r="I284" s="638">
        <f t="shared" si="559"/>
        <v>2018</v>
      </c>
      <c r="J284" s="638">
        <f t="shared" si="559"/>
        <v>2019</v>
      </c>
    </row>
    <row r="285" spans="1:10" x14ac:dyDescent="0.25">
      <c r="A285" s="154"/>
      <c r="B285" s="149"/>
      <c r="C285" s="4"/>
      <c r="D285" s="546"/>
      <c r="E285" s="546"/>
      <c r="F285" s="546"/>
      <c r="G285" s="546"/>
      <c r="H285" s="546"/>
      <c r="I285" s="546"/>
      <c r="J285" s="546"/>
    </row>
    <row r="286" spans="1:10" x14ac:dyDescent="0.25">
      <c r="A286" s="151" t="s">
        <v>110</v>
      </c>
      <c r="B286" s="150"/>
      <c r="C286" s="207"/>
      <c r="D286" s="547"/>
      <c r="E286" s="548">
        <f t="shared" ref="E286:G286" si="560">+E44</f>
        <v>207871238</v>
      </c>
      <c r="F286" s="548">
        <f t="shared" si="560"/>
        <v>294224071</v>
      </c>
      <c r="G286" s="548">
        <f t="shared" si="560"/>
        <v>215433148</v>
      </c>
      <c r="H286" s="548">
        <f t="shared" ref="H286" si="561">+H44</f>
        <v>273498106.20000017</v>
      </c>
      <c r="I286" s="548">
        <f t="shared" ref="I286:J286" si="562">+I44</f>
        <v>292457269.10500038</v>
      </c>
      <c r="J286" s="548">
        <f t="shared" si="562"/>
        <v>295327269.70075023</v>
      </c>
    </row>
    <row r="287" spans="1:10" x14ac:dyDescent="0.25">
      <c r="A287" s="3" t="s">
        <v>111</v>
      </c>
      <c r="B287" s="5" t="s">
        <v>11</v>
      </c>
      <c r="C287" s="4"/>
      <c r="D287" s="550"/>
      <c r="E287" s="551">
        <f>-E26-E31</f>
        <v>28579801</v>
      </c>
      <c r="F287" s="551">
        <f t="shared" ref="F287:G287" si="563">-F26-F31</f>
        <v>39335036</v>
      </c>
      <c r="G287" s="551">
        <f t="shared" si="563"/>
        <v>61499137</v>
      </c>
      <c r="H287" s="551">
        <f t="shared" ref="H287" si="564">-H26-H31</f>
        <v>79422788</v>
      </c>
      <c r="I287" s="551">
        <f t="shared" ref="I287:J287" si="565">-I26-I31</f>
        <v>91102623.049999997</v>
      </c>
      <c r="J287" s="551">
        <f t="shared" si="565"/>
        <v>104511075.04249999</v>
      </c>
    </row>
    <row r="288" spans="1:10" x14ac:dyDescent="0.25">
      <c r="A288" s="3" t="s">
        <v>111</v>
      </c>
      <c r="B288" s="5" t="s">
        <v>112</v>
      </c>
      <c r="C288" s="4"/>
      <c r="D288" s="550"/>
      <c r="E288" s="551">
        <f>-E39-E41</f>
        <v>0</v>
      </c>
      <c r="F288" s="551">
        <f t="shared" ref="F288:G288" si="566">-F39-F41</f>
        <v>0</v>
      </c>
      <c r="G288" s="551">
        <f t="shared" si="566"/>
        <v>0</v>
      </c>
      <c r="H288" s="551">
        <f t="shared" ref="H288" si="567">-H39-H41</f>
        <v>0</v>
      </c>
      <c r="I288" s="551">
        <f t="shared" ref="I288:J288" si="568">-I39-I41</f>
        <v>0</v>
      </c>
      <c r="J288" s="551">
        <f t="shared" si="568"/>
        <v>2186679.56</v>
      </c>
    </row>
    <row r="289" spans="1:10" x14ac:dyDescent="0.25">
      <c r="A289" s="154"/>
      <c r="B289" s="149"/>
      <c r="C289" s="4"/>
      <c r="D289" s="546"/>
      <c r="E289" s="505"/>
      <c r="F289" s="505"/>
      <c r="G289" s="505"/>
      <c r="H289" s="505"/>
      <c r="I289" s="505"/>
      <c r="J289" s="505"/>
    </row>
    <row r="290" spans="1:10" x14ac:dyDescent="0.25">
      <c r="A290" s="151" t="s">
        <v>113</v>
      </c>
      <c r="B290" s="150"/>
      <c r="C290" s="207"/>
      <c r="D290" s="547"/>
      <c r="E290" s="548">
        <f>SUM(E286:E289)</f>
        <v>236451039</v>
      </c>
      <c r="F290" s="548">
        <f t="shared" ref="F290:G290" si="569">SUM(F286:F289)</f>
        <v>333559107</v>
      </c>
      <c r="G290" s="548">
        <f t="shared" si="569"/>
        <v>276932285</v>
      </c>
      <c r="H290" s="548">
        <f t="shared" ref="H290" si="570">SUM(H286:H289)</f>
        <v>352920894.20000017</v>
      </c>
      <c r="I290" s="548">
        <f t="shared" ref="I290:J290" si="571">SUM(I286:I289)</f>
        <v>383559892.15500039</v>
      </c>
      <c r="J290" s="548">
        <f t="shared" si="571"/>
        <v>402025024.30325025</v>
      </c>
    </row>
    <row r="291" spans="1:10" x14ac:dyDescent="0.25">
      <c r="A291" s="3" t="s">
        <v>114</v>
      </c>
      <c r="B291" s="9" t="s">
        <v>115</v>
      </c>
      <c r="C291" s="4"/>
      <c r="D291" s="550"/>
      <c r="E291" s="551">
        <f>-(E163-D163)+(E209-D209)+(E237-D237)+E65+E67</f>
        <v>-25380677</v>
      </c>
      <c r="F291" s="551">
        <f t="shared" ref="F291" si="572">-(F163-E163)+(F209-E209)+(F237-E237)+F65+F67</f>
        <v>-38283362</v>
      </c>
      <c r="G291" s="551">
        <f t="shared" ref="G291" si="573">-(G163-F163)+(G209-F209)+(G237-F237)+G65+G67</f>
        <v>-98929460</v>
      </c>
      <c r="H291" s="551">
        <f t="shared" ref="H291" si="574">-(H163-G163)+(H209-G209)+(H237-G237)+H65+H67</f>
        <v>-186708062.72000003</v>
      </c>
      <c r="I291" s="551">
        <f t="shared" ref="I291" si="575">-(I163-H163)+(I209-H209)+(I237-H237)+I65+I67</f>
        <v>-84200763.263625085</v>
      </c>
      <c r="J291" s="551">
        <f t="shared" ref="J291" si="576">-(J163-I163)+(J209-I209)+(J237-I237)+J65+J67</f>
        <v>-86013005.737668827</v>
      </c>
    </row>
    <row r="292" spans="1:10" x14ac:dyDescent="0.25">
      <c r="A292" s="154"/>
      <c r="B292" s="149"/>
      <c r="C292" s="4"/>
      <c r="D292" s="546"/>
      <c r="E292" s="505"/>
      <c r="F292" s="505"/>
      <c r="G292" s="505"/>
      <c r="H292" s="505"/>
      <c r="I292" s="505"/>
      <c r="J292" s="505"/>
    </row>
    <row r="293" spans="1:10" x14ac:dyDescent="0.25">
      <c r="A293" s="151" t="s">
        <v>116</v>
      </c>
      <c r="B293" s="150"/>
      <c r="C293" s="207"/>
      <c r="D293" s="547"/>
      <c r="E293" s="548">
        <f t="shared" ref="E293:G293" si="577">SUM(E290:E292)</f>
        <v>211070362</v>
      </c>
      <c r="F293" s="548">
        <f t="shared" si="577"/>
        <v>295275745</v>
      </c>
      <c r="G293" s="548">
        <f t="shared" si="577"/>
        <v>178002825</v>
      </c>
      <c r="H293" s="548">
        <f t="shared" ref="H293" si="578">SUM(H290:H292)</f>
        <v>166212831.48000014</v>
      </c>
      <c r="I293" s="548">
        <f t="shared" ref="I293:J293" si="579">SUM(I290:I292)</f>
        <v>299359128.8913753</v>
      </c>
      <c r="J293" s="548">
        <f t="shared" si="579"/>
        <v>316012018.56558144</v>
      </c>
    </row>
    <row r="294" spans="1:10" x14ac:dyDescent="0.25">
      <c r="A294" s="5" t="s">
        <v>117</v>
      </c>
      <c r="B294" s="149"/>
      <c r="C294" s="4" t="str">
        <f>+A110</f>
        <v>Net receivables</v>
      </c>
      <c r="D294" s="546"/>
      <c r="E294" s="551">
        <f t="shared" ref="E294" si="580">-(+E110-D110)</f>
        <v>-30825391</v>
      </c>
      <c r="F294" s="551">
        <f t="shared" ref="F294" si="581">-(+F110-E110)</f>
        <v>-25469143</v>
      </c>
      <c r="G294" s="551">
        <f t="shared" ref="G294" si="582">-(+G110-F110)</f>
        <v>-20134847</v>
      </c>
      <c r="H294" s="551">
        <f t="shared" ref="H294" si="583">-(+H110-G110)</f>
        <v>-23638239.339726031</v>
      </c>
      <c r="I294" s="551">
        <f t="shared" ref="I294" si="584">-(+I110-H110)</f>
        <v>-10006762.033972621</v>
      </c>
      <c r="J294" s="551">
        <f t="shared" ref="J294" si="585">-(+J110-I110)</f>
        <v>-26748074.916808754</v>
      </c>
    </row>
    <row r="295" spans="1:10" x14ac:dyDescent="0.25">
      <c r="A295" s="5" t="s">
        <v>117</v>
      </c>
      <c r="B295" s="149"/>
      <c r="C295" s="4" t="str">
        <f>+A126</f>
        <v>Net inventory</v>
      </c>
      <c r="D295" s="546"/>
      <c r="E295" s="551">
        <f t="shared" ref="E295" si="586">-(+E126-D126)</f>
        <v>-229743818</v>
      </c>
      <c r="F295" s="551">
        <f t="shared" ref="F295" si="587">-(+F126-E126)</f>
        <v>-51278464</v>
      </c>
      <c r="G295" s="551">
        <f t="shared" ref="G295" si="588">-(+G126-F126)</f>
        <v>-4581693</v>
      </c>
      <c r="H295" s="551">
        <f t="shared" ref="H295" si="589">-(+H126-G126)</f>
        <v>-22439291.338904142</v>
      </c>
      <c r="I295" s="551">
        <f t="shared" ref="I295" si="590">-(+I126-H126)</f>
        <v>-52560582.593684971</v>
      </c>
      <c r="J295" s="551">
        <f t="shared" ref="J295" si="591">-(+J126-I126)</f>
        <v>-64114955.081393778</v>
      </c>
    </row>
    <row r="296" spans="1:10" x14ac:dyDescent="0.25">
      <c r="A296" s="5" t="s">
        <v>117</v>
      </c>
      <c r="B296" s="149"/>
      <c r="C296" s="4" t="str">
        <f>+A129</f>
        <v>Advance payment</v>
      </c>
      <c r="D296" s="546"/>
      <c r="E296" s="551">
        <f t="shared" ref="E296" si="592">-(+E129-D129)</f>
        <v>-19689799</v>
      </c>
      <c r="F296" s="551">
        <f t="shared" ref="F296" si="593">-(+F129-E129)</f>
        <v>9514554</v>
      </c>
      <c r="G296" s="551">
        <f t="shared" ref="G296" si="594">-(+G129-F129)</f>
        <v>1821485</v>
      </c>
      <c r="H296" s="551">
        <f t="shared" ref="H296" si="595">-(+H129-G129)</f>
        <v>-3513288.705342466</v>
      </c>
      <c r="I296" s="551">
        <f t="shared" ref="I296" si="596">-(+I129-H129)</f>
        <v>-5537956.0624931548</v>
      </c>
      <c r="J296" s="551">
        <f t="shared" ref="J296" si="597">-(+J129-I129)</f>
        <v>-12618628.456680819</v>
      </c>
    </row>
    <row r="297" spans="1:10" x14ac:dyDescent="0.25">
      <c r="A297" s="5" t="s">
        <v>117</v>
      </c>
      <c r="B297" s="149"/>
      <c r="C297" s="4" t="str">
        <f>+A131</f>
        <v>*Due from sister co (st)</v>
      </c>
      <c r="D297" s="546"/>
      <c r="E297" s="551">
        <f t="shared" ref="E297" si="598">-(+E131-D131)</f>
        <v>-36587</v>
      </c>
      <c r="F297" s="551">
        <f t="shared" ref="F297" si="599">-(+F131-E131)</f>
        <v>-411834</v>
      </c>
      <c r="G297" s="551">
        <f t="shared" ref="G297" si="600">-(+G131-F131)</f>
        <v>262552</v>
      </c>
      <c r="H297" s="551">
        <f t="shared" ref="H297" si="601">-(+H131-G131)</f>
        <v>0</v>
      </c>
      <c r="I297" s="551">
        <f t="shared" ref="I297" si="602">-(+I131-H131)</f>
        <v>0</v>
      </c>
      <c r="J297" s="551">
        <f t="shared" ref="J297" si="603">-(+J131-I131)</f>
        <v>0</v>
      </c>
    </row>
    <row r="298" spans="1:10" x14ac:dyDescent="0.25">
      <c r="A298" s="5" t="s">
        <v>117</v>
      </c>
      <c r="B298" s="149"/>
      <c r="C298" s="4" t="str">
        <f>+A201</f>
        <v>Accounts payable - Suppliers -</v>
      </c>
      <c r="D298" s="546"/>
      <c r="E298" s="551">
        <f t="shared" ref="E298" si="604">E201-D201</f>
        <v>81125008</v>
      </c>
      <c r="F298" s="551">
        <f t="shared" ref="F298" si="605">F201-E201</f>
        <v>-25149433</v>
      </c>
      <c r="G298" s="551">
        <f t="shared" ref="G298" si="606">G201-F201</f>
        <v>13214193</v>
      </c>
      <c r="H298" s="551">
        <f t="shared" ref="H298" si="607">H201-G201</f>
        <v>-17765890.276849315</v>
      </c>
      <c r="I298" s="551">
        <f t="shared" ref="I298" si="608">I201-H201</f>
        <v>5142387.7723150775</v>
      </c>
      <c r="J298" s="551">
        <f t="shared" ref="J298" si="609">J201-I201</f>
        <v>8484939.8243198618</v>
      </c>
    </row>
    <row r="299" spans="1:10" x14ac:dyDescent="0.25">
      <c r="A299" s="5" t="s">
        <v>117</v>
      </c>
      <c r="B299" s="149"/>
      <c r="C299" s="4" t="str">
        <f>+A203</f>
        <v>A/E</v>
      </c>
      <c r="D299" s="546"/>
      <c r="E299" s="551">
        <f t="shared" ref="E299" si="610">E203-D203</f>
        <v>9907567</v>
      </c>
      <c r="F299" s="551">
        <f t="shared" ref="F299" si="611">F203-E203</f>
        <v>6015352</v>
      </c>
      <c r="G299" s="551">
        <f t="shared" ref="G299" si="612">G203-F203</f>
        <v>12625384</v>
      </c>
      <c r="H299" s="551">
        <f t="shared" ref="H299" si="613">H203-G203</f>
        <v>-8769888.4910958894</v>
      </c>
      <c r="I299" s="551">
        <f t="shared" ref="I299" si="614">I203-H203</f>
        <v>1977841.4508904144</v>
      </c>
      <c r="J299" s="551">
        <f t="shared" ref="J299" si="615">J203-I203</f>
        <v>3263438.3939691745</v>
      </c>
    </row>
    <row r="300" spans="1:10" x14ac:dyDescent="0.25">
      <c r="A300" s="5" t="s">
        <v>117</v>
      </c>
      <c r="B300" s="149"/>
      <c r="C300" s="4" t="str">
        <f>+A205</f>
        <v>Down payments</v>
      </c>
      <c r="D300" s="546"/>
      <c r="E300" s="551">
        <f t="shared" ref="E300" si="616">E205-D205</f>
        <v>42427357</v>
      </c>
      <c r="F300" s="551">
        <f t="shared" ref="F300" si="617">F205-E205</f>
        <v>2810399</v>
      </c>
      <c r="G300" s="551">
        <f t="shared" ref="G300" si="618">G205-F205</f>
        <v>9745707</v>
      </c>
      <c r="H300" s="551">
        <f t="shared" ref="H300" si="619">H205-G205</f>
        <v>609659.4109589085</v>
      </c>
      <c r="I300" s="551">
        <f t="shared" ref="I300" si="620">I205-H205</f>
        <v>5559312.2410959005</v>
      </c>
      <c r="J300" s="551">
        <f t="shared" ref="J300" si="621">J205-I205</f>
        <v>7949816.5047671124</v>
      </c>
    </row>
    <row r="301" spans="1:10" x14ac:dyDescent="0.25">
      <c r="A301" s="5" t="s">
        <v>117</v>
      </c>
      <c r="B301" s="149"/>
      <c r="C301" s="4" t="str">
        <f>+A207</f>
        <v>*Due to sister co (st)</v>
      </c>
      <c r="D301" s="546"/>
      <c r="E301" s="551">
        <f t="shared" ref="E301" si="622">E207-D207</f>
        <v>450980828</v>
      </c>
      <c r="F301" s="551">
        <f t="shared" ref="F301" si="623">F207-E207</f>
        <v>542538413</v>
      </c>
      <c r="G301" s="551">
        <f t="shared" ref="G301" si="624">G207-F207</f>
        <v>190813876</v>
      </c>
      <c r="H301" s="551">
        <f t="shared" ref="H301" si="625">H207-G207</f>
        <v>-274526049.59041095</v>
      </c>
      <c r="I301" s="551">
        <f t="shared" ref="I301" si="626">I207-H207</f>
        <v>90980706.740959048</v>
      </c>
      <c r="J301" s="551">
        <f t="shared" ref="J301" si="627">J207-I207</f>
        <v>150118166.12258208</v>
      </c>
    </row>
    <row r="302" spans="1:10" x14ac:dyDescent="0.25">
      <c r="A302" s="154"/>
      <c r="B302" s="149"/>
      <c r="C302" s="4"/>
      <c r="D302" s="546"/>
      <c r="E302" s="505"/>
      <c r="F302" s="505"/>
      <c r="G302" s="505"/>
      <c r="H302" s="505"/>
      <c r="I302" s="505"/>
      <c r="J302" s="505"/>
    </row>
    <row r="303" spans="1:10" x14ac:dyDescent="0.25">
      <c r="A303" s="208" t="s">
        <v>118</v>
      </c>
      <c r="B303" s="152"/>
      <c r="C303" s="209"/>
      <c r="D303" s="553"/>
      <c r="E303" s="554">
        <f t="shared" ref="E303:G303" si="628">SUM(E294:E302)</f>
        <v>304145165</v>
      </c>
      <c r="F303" s="554">
        <f t="shared" si="628"/>
        <v>458569844</v>
      </c>
      <c r="G303" s="554">
        <f t="shared" si="628"/>
        <v>203766657</v>
      </c>
      <c r="H303" s="554">
        <f t="shared" ref="H303" si="629">SUM(H294:H302)</f>
        <v>-350042988.33136988</v>
      </c>
      <c r="I303" s="554">
        <f t="shared" ref="I303:J303" si="630">SUM(I294:I302)</f>
        <v>35554947.515109688</v>
      </c>
      <c r="J303" s="554">
        <f t="shared" si="630"/>
        <v>66334702.390754879</v>
      </c>
    </row>
    <row r="304" spans="1:10" x14ac:dyDescent="0.25">
      <c r="A304" s="5" t="s">
        <v>117</v>
      </c>
      <c r="B304" s="149"/>
      <c r="C304" s="4" t="str">
        <f>+A165</f>
        <v>Prepaid &amp; accruals</v>
      </c>
      <c r="D304" s="546"/>
      <c r="E304" s="551">
        <f t="shared" ref="E304:G304" si="631">-(E165-D165)</f>
        <v>-13595501</v>
      </c>
      <c r="F304" s="551">
        <f t="shared" si="631"/>
        <v>-17188284</v>
      </c>
      <c r="G304" s="551">
        <f t="shared" si="631"/>
        <v>3118651</v>
      </c>
      <c r="H304" s="551">
        <f t="shared" ref="H304" si="632">-(H165-G165)</f>
        <v>13054245</v>
      </c>
      <c r="I304" s="551">
        <f t="shared" ref="I304:J304" si="633">-(I165-H165)</f>
        <v>0</v>
      </c>
      <c r="J304" s="551">
        <f t="shared" si="633"/>
        <v>0</v>
      </c>
    </row>
    <row r="305" spans="1:10" x14ac:dyDescent="0.25">
      <c r="A305" s="5" t="s">
        <v>117</v>
      </c>
      <c r="B305" s="149"/>
      <c r="C305" s="210" t="str">
        <f>A133</f>
        <v>Other receivables</v>
      </c>
      <c r="D305" s="546"/>
      <c r="E305" s="551">
        <f t="shared" ref="E305" si="634">-(E133-D133)</f>
        <v>0</v>
      </c>
      <c r="F305" s="551">
        <f t="shared" ref="F305" si="635">-(F133-E133)</f>
        <v>0</v>
      </c>
      <c r="G305" s="551">
        <f t="shared" ref="G305" si="636">-(G133-F133)</f>
        <v>0</v>
      </c>
      <c r="H305" s="551">
        <f t="shared" ref="H305" si="637">-(H133-G133)</f>
        <v>0</v>
      </c>
      <c r="I305" s="551">
        <f t="shared" ref="I305" si="638">-(I133-H133)</f>
        <v>0</v>
      </c>
      <c r="J305" s="551">
        <f t="shared" ref="J305" si="639">-(J133-I133)</f>
        <v>0</v>
      </c>
    </row>
    <row r="306" spans="1:10" x14ac:dyDescent="0.25">
      <c r="A306" s="5" t="s">
        <v>117</v>
      </c>
      <c r="B306" s="149"/>
      <c r="C306" s="210" t="str">
        <f>A135</f>
        <v>Other current asset</v>
      </c>
      <c r="D306" s="546"/>
      <c r="E306" s="551">
        <f t="shared" ref="E306" si="640">-(E135-D135)</f>
        <v>-22645965</v>
      </c>
      <c r="F306" s="551">
        <f t="shared" ref="F306" si="641">-(F135-E135)</f>
        <v>-6581814</v>
      </c>
      <c r="G306" s="551">
        <f t="shared" ref="G306" si="642">-(G135-F135)</f>
        <v>-6631462</v>
      </c>
      <c r="H306" s="551">
        <f t="shared" ref="H306" si="643">-(H135-G135)</f>
        <v>0</v>
      </c>
      <c r="I306" s="551">
        <f t="shared" ref="I306" si="644">-(I135-H135)</f>
        <v>0</v>
      </c>
      <c r="J306" s="551">
        <f t="shared" ref="J306" si="645">-(J135-I135)</f>
        <v>0</v>
      </c>
    </row>
    <row r="307" spans="1:10" x14ac:dyDescent="0.25">
      <c r="A307" s="5" t="s">
        <v>117</v>
      </c>
      <c r="B307" s="149"/>
      <c r="C307" s="210" t="str">
        <f>A215</f>
        <v>Other current liability</v>
      </c>
      <c r="D307" s="546"/>
      <c r="E307" s="551">
        <f t="shared" ref="E307" si="646">E215-D215</f>
        <v>34717057</v>
      </c>
      <c r="F307" s="551">
        <f t="shared" ref="F307" si="647">F215-E215</f>
        <v>-14433457</v>
      </c>
      <c r="G307" s="551">
        <f t="shared" ref="G307" si="648">G215-F215</f>
        <v>-2291821</v>
      </c>
      <c r="H307" s="551">
        <f t="shared" ref="H307" si="649">H215-G215</f>
        <v>0</v>
      </c>
      <c r="I307" s="551">
        <f t="shared" ref="I307" si="650">I215-H215</f>
        <v>0</v>
      </c>
      <c r="J307" s="551">
        <f t="shared" ref="J307" si="651">J215-I215</f>
        <v>0</v>
      </c>
    </row>
    <row r="308" spans="1:10" x14ac:dyDescent="0.25">
      <c r="A308" s="154"/>
      <c r="B308" s="149"/>
      <c r="C308" s="4"/>
      <c r="D308" s="546"/>
      <c r="E308" s="505"/>
      <c r="F308" s="505"/>
      <c r="G308" s="505"/>
      <c r="H308" s="505"/>
      <c r="I308" s="505"/>
      <c r="J308" s="505"/>
    </row>
    <row r="309" spans="1:10" x14ac:dyDescent="0.25">
      <c r="A309" s="151" t="s">
        <v>119</v>
      </c>
      <c r="B309" s="150"/>
      <c r="C309" s="207"/>
      <c r="D309" s="555"/>
      <c r="E309" s="548">
        <f t="shared" ref="E309:G309" si="652">E293+E303+SUM(E304:E308)</f>
        <v>513691118</v>
      </c>
      <c r="F309" s="548">
        <f t="shared" si="652"/>
        <v>715642034</v>
      </c>
      <c r="G309" s="548">
        <f t="shared" si="652"/>
        <v>375964850</v>
      </c>
      <c r="H309" s="548">
        <f t="shared" ref="H309" si="653">H293+H303+SUM(H304:H308)</f>
        <v>-170775911.85136974</v>
      </c>
      <c r="I309" s="548">
        <f t="shared" ref="I309:J309" si="654">I293+I303+SUM(I304:I308)</f>
        <v>334914076.40648496</v>
      </c>
      <c r="J309" s="548">
        <f t="shared" si="654"/>
        <v>382346720.95633632</v>
      </c>
    </row>
    <row r="310" spans="1:10" x14ac:dyDescent="0.25">
      <c r="A310" s="3" t="s">
        <v>114</v>
      </c>
      <c r="B310" s="5" t="s">
        <v>120</v>
      </c>
      <c r="C310" s="4"/>
      <c r="D310" s="546"/>
      <c r="E310" s="551">
        <f t="shared" ref="E310:G310" si="655">E46+E211-D211</f>
        <v>-401675</v>
      </c>
      <c r="F310" s="551">
        <f t="shared" si="655"/>
        <v>-266420</v>
      </c>
      <c r="G310" s="551">
        <f t="shared" si="655"/>
        <v>-28188362</v>
      </c>
      <c r="H310" s="551">
        <f t="shared" ref="H310" si="656">H46+H211-G211</f>
        <v>-25922052</v>
      </c>
      <c r="I310" s="551">
        <f t="shared" ref="I310:J310" si="657">I46+I211-H211</f>
        <v>-20737641.600000001</v>
      </c>
      <c r="J310" s="551">
        <f t="shared" si="657"/>
        <v>-15553231.200000001</v>
      </c>
    </row>
    <row r="311" spans="1:10" x14ac:dyDescent="0.25">
      <c r="A311" s="3" t="s">
        <v>114</v>
      </c>
      <c r="B311" s="5" t="s">
        <v>121</v>
      </c>
      <c r="C311" s="4"/>
      <c r="D311" s="546"/>
      <c r="E311" s="551">
        <f t="shared" ref="E311" si="658">-D193-D197</f>
        <v>0</v>
      </c>
      <c r="F311" s="551">
        <f t="shared" ref="F311" si="659">-E193-E197</f>
        <v>-13448647</v>
      </c>
      <c r="G311" s="551">
        <f t="shared" ref="G311" si="660">-F193-F197</f>
        <v>-13844474</v>
      </c>
      <c r="H311" s="551">
        <f t="shared" ref="H311" si="661">-G193-G197</f>
        <v>-7575014</v>
      </c>
      <c r="I311" s="551">
        <f t="shared" ref="I311" si="662">-H193-H197</f>
        <v>-39880080</v>
      </c>
      <c r="J311" s="551">
        <f t="shared" ref="J311" si="663">-I193-I197</f>
        <v>-39880080</v>
      </c>
    </row>
    <row r="312" spans="1:10" x14ac:dyDescent="0.25">
      <c r="A312" s="3" t="s">
        <v>114</v>
      </c>
      <c r="B312" s="5" t="s">
        <v>122</v>
      </c>
      <c r="C312" s="4"/>
      <c r="D312" s="546"/>
      <c r="E312" s="551">
        <f t="shared" ref="E312" si="664">-D199</f>
        <v>0</v>
      </c>
      <c r="F312" s="551">
        <f t="shared" ref="F312" si="665">-E199</f>
        <v>0</v>
      </c>
      <c r="G312" s="551">
        <f t="shared" ref="G312" si="666">-F199</f>
        <v>0</v>
      </c>
      <c r="H312" s="551">
        <f t="shared" ref="H312" si="667">-G199</f>
        <v>0</v>
      </c>
      <c r="I312" s="551">
        <f t="shared" ref="I312" si="668">-H199</f>
        <v>0</v>
      </c>
      <c r="J312" s="551">
        <f t="shared" ref="J312" si="669">-I199</f>
        <v>0</v>
      </c>
    </row>
    <row r="313" spans="1:10" x14ac:dyDescent="0.25">
      <c r="A313" s="3" t="s">
        <v>114</v>
      </c>
      <c r="B313" s="5" t="s">
        <v>123</v>
      </c>
      <c r="C313" s="4"/>
      <c r="D313" s="546"/>
      <c r="E313" s="551">
        <f t="shared" ref="E313" si="670">-D195</f>
        <v>0</v>
      </c>
      <c r="F313" s="551">
        <f t="shared" ref="F313" si="671">-E195</f>
        <v>0</v>
      </c>
      <c r="G313" s="551">
        <f t="shared" ref="G313" si="672">-F195</f>
        <v>0</v>
      </c>
      <c r="H313" s="551">
        <f t="shared" ref="H313" si="673">-G195</f>
        <v>0</v>
      </c>
      <c r="I313" s="551">
        <f t="shared" ref="I313" si="674">-H195</f>
        <v>0</v>
      </c>
      <c r="J313" s="551">
        <f t="shared" ref="J313" si="675">-I195</f>
        <v>0</v>
      </c>
    </row>
    <row r="314" spans="1:10" x14ac:dyDescent="0.25">
      <c r="A314" s="154" t="s">
        <v>114</v>
      </c>
      <c r="B314" s="149" t="str">
        <f>A83</f>
        <v>Preferred dividends</v>
      </c>
      <c r="C314" s="4"/>
      <c r="D314" s="546"/>
      <c r="E314" s="551">
        <f t="shared" ref="E314:G314" si="676">E83</f>
        <v>0</v>
      </c>
      <c r="F314" s="551">
        <f t="shared" si="676"/>
        <v>0</v>
      </c>
      <c r="G314" s="551">
        <f t="shared" si="676"/>
        <v>0</v>
      </c>
      <c r="H314" s="551">
        <f t="shared" ref="H314" si="677">H83</f>
        <v>0</v>
      </c>
      <c r="I314" s="551">
        <f t="shared" ref="I314:J314" si="678">I83</f>
        <v>0</v>
      </c>
      <c r="J314" s="551">
        <f t="shared" si="678"/>
        <v>0</v>
      </c>
    </row>
    <row r="315" spans="1:10" x14ac:dyDescent="0.25">
      <c r="A315" s="208" t="s">
        <v>124</v>
      </c>
      <c r="B315" s="153"/>
      <c r="C315" s="155"/>
      <c r="D315" s="556"/>
      <c r="E315" s="554">
        <f t="shared" ref="E315:G315" si="679">SUM(E310:E314)</f>
        <v>-401675</v>
      </c>
      <c r="F315" s="554">
        <f t="shared" si="679"/>
        <v>-13715067</v>
      </c>
      <c r="G315" s="554">
        <f t="shared" si="679"/>
        <v>-42032836</v>
      </c>
      <c r="H315" s="554">
        <f t="shared" ref="H315" si="680">SUM(H310:H314)</f>
        <v>-33497066</v>
      </c>
      <c r="I315" s="554">
        <f t="shared" ref="I315:J315" si="681">SUM(I310:I314)</f>
        <v>-60617721.600000001</v>
      </c>
      <c r="J315" s="554">
        <f t="shared" si="681"/>
        <v>-55433311.200000003</v>
      </c>
    </row>
    <row r="316" spans="1:10" x14ac:dyDescent="0.25">
      <c r="A316" s="154" t="s">
        <v>114</v>
      </c>
      <c r="B316" s="5" t="s">
        <v>125</v>
      </c>
      <c r="C316" s="4"/>
      <c r="D316" s="546"/>
      <c r="E316" s="551">
        <f t="shared" ref="E316" si="682">-D213+E85+E213</f>
        <v>-175993300</v>
      </c>
      <c r="F316" s="551">
        <f t="shared" ref="F316" si="683">-E213+F85+F213</f>
        <v>-179923601</v>
      </c>
      <c r="G316" s="551">
        <f t="shared" ref="G316" si="684">-F213+G85+G213</f>
        <v>-239613169</v>
      </c>
      <c r="H316" s="551">
        <f t="shared" ref="H316" si="685">-G213+H85+H213</f>
        <v>0</v>
      </c>
      <c r="I316" s="551">
        <f t="shared" ref="I316" si="686">-H213+I85+I213</f>
        <v>-54863831</v>
      </c>
      <c r="J316" s="551">
        <f t="shared" ref="J316" si="687">-I213+J85+J213</f>
        <v>0</v>
      </c>
    </row>
    <row r="317" spans="1:10" x14ac:dyDescent="0.25">
      <c r="A317" s="208" t="s">
        <v>1776</v>
      </c>
      <c r="B317" s="153"/>
      <c r="C317" s="155"/>
      <c r="D317" s="556"/>
      <c r="E317" s="554">
        <f t="shared" ref="E317:G317" si="688">SUM(E315:E316)</f>
        <v>-176394975</v>
      </c>
      <c r="F317" s="554">
        <f t="shared" si="688"/>
        <v>-193638668</v>
      </c>
      <c r="G317" s="554">
        <f t="shared" si="688"/>
        <v>-281646005</v>
      </c>
      <c r="H317" s="554">
        <f t="shared" ref="H317" si="689">SUM(H315:H316)</f>
        <v>-33497066</v>
      </c>
      <c r="I317" s="554">
        <f t="shared" ref="I317:J317" si="690">SUM(I315:I316)</f>
        <v>-115481552.59999999</v>
      </c>
      <c r="J317" s="554">
        <f t="shared" si="690"/>
        <v>-55433311.200000003</v>
      </c>
    </row>
    <row r="318" spans="1:10" x14ac:dyDescent="0.25">
      <c r="A318" s="154"/>
      <c r="B318" s="149"/>
      <c r="C318" s="4"/>
      <c r="D318" s="546"/>
      <c r="E318" s="505"/>
      <c r="F318" s="505"/>
      <c r="G318" s="505"/>
      <c r="H318" s="505"/>
      <c r="I318" s="505"/>
      <c r="J318" s="505"/>
    </row>
    <row r="319" spans="1:10" x14ac:dyDescent="0.25">
      <c r="A319" s="151" t="s">
        <v>126</v>
      </c>
      <c r="B319" s="150"/>
      <c r="C319" s="207"/>
      <c r="D319" s="555"/>
      <c r="E319" s="548">
        <f t="shared" ref="E319:G319" si="691">E309+E317</f>
        <v>337296143</v>
      </c>
      <c r="F319" s="548">
        <f t="shared" si="691"/>
        <v>522003366</v>
      </c>
      <c r="G319" s="548">
        <f t="shared" si="691"/>
        <v>94318845</v>
      </c>
      <c r="H319" s="548">
        <f t="shared" ref="H319" si="692">H309+H317</f>
        <v>-204272977.85136974</v>
      </c>
      <c r="I319" s="548">
        <f t="shared" ref="I319:J319" si="693">I309+I317</f>
        <v>219432523.80648497</v>
      </c>
      <c r="J319" s="548">
        <f t="shared" si="693"/>
        <v>326913409.75633633</v>
      </c>
    </row>
    <row r="320" spans="1:10" x14ac:dyDescent="0.25">
      <c r="A320" s="154" t="s">
        <v>114</v>
      </c>
      <c r="B320" s="149" t="s">
        <v>127</v>
      </c>
      <c r="C320" s="4"/>
      <c r="D320" s="546"/>
      <c r="E320" s="551">
        <f>-(E154-D154-E26-E31-E48)</f>
        <v>-612061034</v>
      </c>
      <c r="F320" s="551">
        <f t="shared" ref="F320" si="694">-(F154-E154-F26-F31-F48)</f>
        <v>-42145938</v>
      </c>
      <c r="G320" s="551">
        <f t="shared" ref="G320" si="695">-(G154-F154-G26-G31-G48)</f>
        <v>-50277084</v>
      </c>
      <c r="H320" s="551">
        <f t="shared" ref="H320" si="696">-(H154-G154-H26-H31-H48)</f>
        <v>-210167586.54999995</v>
      </c>
      <c r="I320" s="551">
        <f t="shared" ref="I320" si="697">-(I154-H154-I26-I31-I48)</f>
        <v>-253240998.6225</v>
      </c>
      <c r="J320" s="551">
        <f t="shared" ref="J320" si="698">-(J154-I154-J26-J31-J48)</f>
        <v>-305409259.80862522</v>
      </c>
    </row>
    <row r="321" spans="1:10" x14ac:dyDescent="0.25">
      <c r="A321" s="5" t="s">
        <v>117</v>
      </c>
      <c r="B321" s="149"/>
      <c r="C321" s="154" t="str">
        <f>A157</f>
        <v>Investments (associates)</v>
      </c>
      <c r="D321" s="546"/>
      <c r="E321" s="551">
        <f>-(E157-D157)</f>
        <v>-49900</v>
      </c>
      <c r="F321" s="551">
        <f t="shared" ref="F321" si="699">-(F157-E157)</f>
        <v>0</v>
      </c>
      <c r="G321" s="551">
        <f t="shared" ref="G321" si="700">-(G157-F157)</f>
        <v>0</v>
      </c>
      <c r="H321" s="551">
        <f t="shared" ref="H321" si="701">-(H157-G157)</f>
        <v>0</v>
      </c>
      <c r="I321" s="551">
        <f t="shared" ref="I321" si="702">-(I157-H157)</f>
        <v>0</v>
      </c>
      <c r="J321" s="551">
        <f t="shared" ref="J321" si="703">-(J157-I157)</f>
        <v>0</v>
      </c>
    </row>
    <row r="322" spans="1:10" x14ac:dyDescent="0.25">
      <c r="A322" s="5" t="s">
        <v>117</v>
      </c>
      <c r="B322" s="149"/>
      <c r="C322" s="154" t="str">
        <f>A161</f>
        <v>Lt receivables</v>
      </c>
      <c r="D322" s="546"/>
      <c r="E322" s="551">
        <f t="shared" ref="E322" si="704">-(E161-D161)</f>
        <v>-9368874</v>
      </c>
      <c r="F322" s="551">
        <f t="shared" ref="F322" si="705">-(F161-E161)</f>
        <v>7260629</v>
      </c>
      <c r="G322" s="551">
        <f t="shared" ref="G322" si="706">-(G161-F161)</f>
        <v>-30247332</v>
      </c>
      <c r="H322" s="551">
        <f t="shared" ref="H322" si="707">-(H161-G161)</f>
        <v>0</v>
      </c>
      <c r="I322" s="551">
        <f t="shared" ref="I322" si="708">-(I161-H161)</f>
        <v>0</v>
      </c>
      <c r="J322" s="551">
        <f t="shared" ref="J322" si="709">-(J161-I161)</f>
        <v>0</v>
      </c>
    </row>
    <row r="323" spans="1:10" x14ac:dyDescent="0.25">
      <c r="A323" s="5" t="s">
        <v>117</v>
      </c>
      <c r="B323" s="149"/>
      <c r="C323" s="211" t="str">
        <f>A175</f>
        <v>Net intangibles</v>
      </c>
      <c r="D323" s="546"/>
      <c r="E323" s="551">
        <f t="shared" ref="E323" si="710">-(E175-D175-E39-E41)</f>
        <v>0</v>
      </c>
      <c r="F323" s="551">
        <f t="shared" ref="F323" si="711">-(F175-E175-F39-F41)</f>
        <v>0</v>
      </c>
      <c r="G323" s="551">
        <f t="shared" ref="G323" si="712">-(G175-F175-G39-G41)</f>
        <v>0</v>
      </c>
      <c r="H323" s="551">
        <f t="shared" ref="H323" si="713">-(H175-G175-H39-H41)</f>
        <v>0</v>
      </c>
      <c r="I323" s="551">
        <f t="shared" ref="I323" si="714">-(I175-H175-I39-I41)</f>
        <v>0</v>
      </c>
      <c r="J323" s="551">
        <f t="shared" ref="J323" si="715">-(J175-I175-J39-J41)</f>
        <v>-2186679.56</v>
      </c>
    </row>
    <row r="324" spans="1:10" x14ac:dyDescent="0.25">
      <c r="A324" s="154" t="s">
        <v>111</v>
      </c>
      <c r="B324" s="154" t="str">
        <f>A50</f>
        <v>Interest Income</v>
      </c>
      <c r="C324" s="4"/>
      <c r="D324" s="546"/>
      <c r="E324" s="551">
        <f t="shared" ref="E324:G324" si="716">E50</f>
        <v>14324165</v>
      </c>
      <c r="F324" s="551">
        <f t="shared" si="716"/>
        <v>54733782</v>
      </c>
      <c r="G324" s="551">
        <f t="shared" si="716"/>
        <v>75483386</v>
      </c>
      <c r="H324" s="551">
        <f t="shared" ref="H324" si="717">H50</f>
        <v>48180444.333333336</v>
      </c>
      <c r="I324" s="551">
        <f t="shared" ref="I324:J324" si="718">I50</f>
        <v>48180445</v>
      </c>
      <c r="J324" s="551">
        <f t="shared" si="718"/>
        <v>48180445</v>
      </c>
    </row>
    <row r="325" spans="1:10" x14ac:dyDescent="0.25">
      <c r="A325" s="154" t="s">
        <v>111</v>
      </c>
      <c r="B325" s="154" t="str">
        <f>A52</f>
        <v>Other income/Not specified</v>
      </c>
      <c r="C325" s="4"/>
      <c r="D325" s="546"/>
      <c r="E325" s="551">
        <f t="shared" ref="E325:G325" si="719">E52</f>
        <v>44014099</v>
      </c>
      <c r="F325" s="551">
        <f t="shared" si="719"/>
        <v>45408021</v>
      </c>
      <c r="G325" s="551">
        <f t="shared" si="719"/>
        <v>54202720</v>
      </c>
      <c r="H325" s="551">
        <f t="shared" ref="H325" si="720">H52</f>
        <v>56912856</v>
      </c>
      <c r="I325" s="551">
        <f t="shared" ref="I325:J325" si="721">I52</f>
        <v>54202720</v>
      </c>
      <c r="J325" s="551">
        <f t="shared" si="721"/>
        <v>54202720</v>
      </c>
    </row>
    <row r="326" spans="1:10" x14ac:dyDescent="0.25">
      <c r="A326" s="154" t="s">
        <v>111</v>
      </c>
      <c r="B326" s="5" t="s">
        <v>128</v>
      </c>
      <c r="C326" s="4"/>
      <c r="D326" s="546"/>
      <c r="E326" s="551">
        <f>E54+E56+E58</f>
        <v>0</v>
      </c>
      <c r="F326" s="551">
        <f t="shared" ref="F326:G326" si="722">F54+F56+F58</f>
        <v>456454</v>
      </c>
      <c r="G326" s="551">
        <f t="shared" si="722"/>
        <v>122822</v>
      </c>
      <c r="H326" s="551">
        <f t="shared" ref="H326" si="723">H54+H56+H58</f>
        <v>122822</v>
      </c>
      <c r="I326" s="551">
        <f t="shared" ref="I326:J326" si="724">I54+I56+I58</f>
        <v>122822</v>
      </c>
      <c r="J326" s="551">
        <f t="shared" si="724"/>
        <v>122822</v>
      </c>
    </row>
    <row r="327" spans="1:10" x14ac:dyDescent="0.25">
      <c r="A327" s="154" t="s">
        <v>111</v>
      </c>
      <c r="B327" s="149" t="str">
        <f>A74</f>
        <v>Gain/loss on sale of plant</v>
      </c>
      <c r="C327" s="149"/>
      <c r="D327" s="546"/>
      <c r="E327" s="551">
        <f t="shared" ref="E327:G327" si="725">E74</f>
        <v>0</v>
      </c>
      <c r="F327" s="551">
        <f t="shared" si="725"/>
        <v>0</v>
      </c>
      <c r="G327" s="551">
        <f t="shared" si="725"/>
        <v>0</v>
      </c>
      <c r="H327" s="551">
        <f t="shared" ref="H327" si="726">H74</f>
        <v>0</v>
      </c>
      <c r="I327" s="551">
        <f t="shared" ref="I327:J327" si="727">I74</f>
        <v>0</v>
      </c>
      <c r="J327" s="551">
        <f t="shared" si="727"/>
        <v>0</v>
      </c>
    </row>
    <row r="328" spans="1:10" x14ac:dyDescent="0.25">
      <c r="A328" s="154" t="s">
        <v>111</v>
      </c>
      <c r="B328" s="5" t="s">
        <v>129</v>
      </c>
      <c r="C328" s="4"/>
      <c r="D328" s="546"/>
      <c r="E328" s="551">
        <f t="shared" ref="E328:G328" si="728">E76+E78</f>
        <v>0</v>
      </c>
      <c r="F328" s="551">
        <f t="shared" si="728"/>
        <v>0</v>
      </c>
      <c r="G328" s="551">
        <f t="shared" si="728"/>
        <v>0</v>
      </c>
      <c r="H328" s="551">
        <f t="shared" ref="H328" si="729">H76+H78</f>
        <v>0</v>
      </c>
      <c r="I328" s="551">
        <f t="shared" ref="I328:J328" si="730">I76+I78</f>
        <v>0</v>
      </c>
      <c r="J328" s="551">
        <f t="shared" si="730"/>
        <v>0</v>
      </c>
    </row>
    <row r="329" spans="1:10" x14ac:dyDescent="0.25">
      <c r="A329" s="154"/>
      <c r="B329" s="149"/>
      <c r="C329" s="4"/>
      <c r="D329" s="546"/>
      <c r="E329" s="505"/>
      <c r="F329" s="505"/>
      <c r="G329" s="505"/>
      <c r="H329" s="505"/>
      <c r="I329" s="505"/>
      <c r="J329" s="505"/>
    </row>
    <row r="330" spans="1:10" x14ac:dyDescent="0.25">
      <c r="A330" s="151" t="s">
        <v>130</v>
      </c>
      <c r="B330" s="150"/>
      <c r="C330" s="207"/>
      <c r="D330" s="555"/>
      <c r="E330" s="548">
        <f t="shared" ref="E330" si="731">SUM(E319:E329)</f>
        <v>-225845401</v>
      </c>
      <c r="F330" s="548">
        <f t="shared" ref="F330" si="732">SUM(F319:F329)</f>
        <v>587716314</v>
      </c>
      <c r="G330" s="548">
        <f t="shared" ref="G330" si="733">SUM(G319:G329)</f>
        <v>143603357</v>
      </c>
      <c r="H330" s="548">
        <f t="shared" ref="H330" si="734">SUM(H319:H329)</f>
        <v>-309224442.06803638</v>
      </c>
      <c r="I330" s="548">
        <f t="shared" ref="I330" si="735">SUM(I319:I329)</f>
        <v>68697512.183984965</v>
      </c>
      <c r="J330" s="548">
        <f t="shared" ref="J330" si="736">SUM(J319:J329)</f>
        <v>121823457.38771111</v>
      </c>
    </row>
    <row r="331" spans="1:10" x14ac:dyDescent="0.25">
      <c r="A331" s="5" t="s">
        <v>117</v>
      </c>
      <c r="B331" s="149"/>
      <c r="C331" s="5" t="s">
        <v>131</v>
      </c>
      <c r="D331" s="546"/>
      <c r="E331" s="551">
        <f t="shared" ref="E331" si="737">E191-D191</f>
        <v>0</v>
      </c>
      <c r="F331" s="551">
        <f t="shared" ref="F331" si="738">F191-E191</f>
        <v>0</v>
      </c>
      <c r="G331" s="551">
        <f t="shared" ref="G331" si="739">G191-F191</f>
        <v>92810674</v>
      </c>
      <c r="H331" s="551">
        <f t="shared" ref="H331" si="740">H191-G191</f>
        <v>-92810674</v>
      </c>
      <c r="I331" s="551">
        <f t="shared" ref="I331" si="741">I191-H191</f>
        <v>0</v>
      </c>
      <c r="J331" s="551">
        <f t="shared" ref="J331" si="742">J191-I191</f>
        <v>16820612</v>
      </c>
    </row>
    <row r="332" spans="1:10" x14ac:dyDescent="0.25">
      <c r="A332" s="5" t="s">
        <v>117</v>
      </c>
      <c r="B332" s="149"/>
      <c r="C332" s="5" t="s">
        <v>132</v>
      </c>
      <c r="D332" s="546"/>
      <c r="E332" s="551">
        <f t="shared" ref="E332" si="743">E193+E197+E199+E223+E225-D223-D225</f>
        <v>33621641</v>
      </c>
      <c r="F332" s="551">
        <f t="shared" ref="F332" si="744">F193+F197+F199+F223+F225-E223-E225</f>
        <v>593741</v>
      </c>
      <c r="G332" s="551">
        <f t="shared" ref="G332" si="745">G193+G197+G199+G223+G225-F223-F225</f>
        <v>652753</v>
      </c>
      <c r="H332" s="551">
        <f t="shared" ref="H332" si="746">H193+H197+H199+H223+H225-G223-G225</f>
        <v>199400400</v>
      </c>
      <c r="I332" s="551">
        <f t="shared" ref="I332" si="747">I193+I197+I199+I223+I225-H223-H225</f>
        <v>0</v>
      </c>
      <c r="J332" s="551">
        <f t="shared" ref="J332" si="748">J193+J197+J199+J223+J225-I223-I225</f>
        <v>0</v>
      </c>
    </row>
    <row r="333" spans="1:10" x14ac:dyDescent="0.25">
      <c r="A333" s="5" t="s">
        <v>117</v>
      </c>
      <c r="B333" s="149"/>
      <c r="C333" s="5" t="s">
        <v>133</v>
      </c>
      <c r="D333" s="546"/>
      <c r="E333" s="551">
        <f t="shared" ref="E333" si="749">E195+E221-D221</f>
        <v>0</v>
      </c>
      <c r="F333" s="551">
        <f t="shared" ref="F333" si="750">F195+F221-E221</f>
        <v>0</v>
      </c>
      <c r="G333" s="551">
        <f t="shared" ref="G333" si="751">G195+G221-F221</f>
        <v>0</v>
      </c>
      <c r="H333" s="551">
        <f t="shared" ref="H333" si="752">H195+H221-G221</f>
        <v>0</v>
      </c>
      <c r="I333" s="551">
        <f t="shared" ref="I333" si="753">I195+I221-H221</f>
        <v>0</v>
      </c>
      <c r="J333" s="551">
        <f t="shared" ref="J333" si="754">J195+J221-I221</f>
        <v>0</v>
      </c>
    </row>
    <row r="334" spans="1:10" x14ac:dyDescent="0.25">
      <c r="A334" s="212" t="s">
        <v>117</v>
      </c>
      <c r="B334" s="2"/>
      <c r="C334" s="212" t="s">
        <v>134</v>
      </c>
      <c r="D334" s="505"/>
      <c r="E334" s="551">
        <f t="shared" ref="E334" si="755">-(E159-D159)+E231-D231</f>
        <v>0</v>
      </c>
      <c r="F334" s="551">
        <f t="shared" ref="F334" si="756">-(F159-E159)+F231-E231</f>
        <v>0</v>
      </c>
      <c r="G334" s="551">
        <f t="shared" ref="G334" si="757">-(G159-F159)+G231-F231</f>
        <v>0</v>
      </c>
      <c r="H334" s="551">
        <f t="shared" ref="H334" si="758">-(H159-G159)+H231-G231</f>
        <v>0</v>
      </c>
      <c r="I334" s="551">
        <f t="shared" ref="I334" si="759">-(I159-H159)+I231-H231</f>
        <v>0</v>
      </c>
      <c r="J334" s="551">
        <f t="shared" ref="J334" si="760">-(J159-I159)+J231-I231</f>
        <v>0</v>
      </c>
    </row>
    <row r="335" spans="1:10" x14ac:dyDescent="0.25">
      <c r="A335" s="5" t="s">
        <v>117</v>
      </c>
      <c r="B335" s="149"/>
      <c r="C335" s="5" t="s">
        <v>135</v>
      </c>
      <c r="D335" s="546"/>
      <c r="E335" s="551">
        <f t="shared" ref="E335" si="761">E233-D233+E235-D235</f>
        <v>35122599</v>
      </c>
      <c r="F335" s="551">
        <f t="shared" ref="F335" si="762">F233-E233+F235-E235</f>
        <v>8634101</v>
      </c>
      <c r="G335" s="551">
        <f t="shared" ref="G335" si="763">G233-F233+G235-F235</f>
        <v>4216484</v>
      </c>
      <c r="H335" s="551">
        <f t="shared" ref="H335" si="764">H233-G233+H235-G235</f>
        <v>0</v>
      </c>
      <c r="I335" s="551">
        <f t="shared" ref="I335" si="765">I233-H233+I235-H235</f>
        <v>0</v>
      </c>
      <c r="J335" s="551">
        <f t="shared" ref="J335" si="766">J233-I233+J235-I235</f>
        <v>0</v>
      </c>
    </row>
    <row r="336" spans="1:10" x14ac:dyDescent="0.25">
      <c r="A336" s="5" t="s">
        <v>117</v>
      </c>
      <c r="B336" s="149"/>
      <c r="C336" s="154" t="str">
        <f>+A245</f>
        <v>Minority interest</v>
      </c>
      <c r="D336" s="546"/>
      <c r="E336" s="551">
        <f t="shared" ref="E336" si="767">E245-D245+E72</f>
        <v>0</v>
      </c>
      <c r="F336" s="551">
        <f t="shared" ref="F336" si="768">F245-E245+F72</f>
        <v>0</v>
      </c>
      <c r="G336" s="551">
        <f t="shared" ref="G336" si="769">G245-F245+G72</f>
        <v>0</v>
      </c>
      <c r="H336" s="551">
        <f t="shared" ref="H336" si="770">H245-G245+H72</f>
        <v>0</v>
      </c>
      <c r="I336" s="551">
        <f t="shared" ref="I336" si="771">I245-H245+I72</f>
        <v>0</v>
      </c>
      <c r="J336" s="551">
        <f t="shared" ref="J336" si="772">J245-I245+J72</f>
        <v>0</v>
      </c>
    </row>
    <row r="337" spans="1:10" x14ac:dyDescent="0.25">
      <c r="A337" s="5" t="s">
        <v>117</v>
      </c>
      <c r="B337" s="149"/>
      <c r="C337" s="154" t="str">
        <f>+A239</f>
        <v>Shareholders loan</v>
      </c>
      <c r="D337" s="546"/>
      <c r="E337" s="551">
        <f t="shared" ref="E337" si="773">E239-D239</f>
        <v>0</v>
      </c>
      <c r="F337" s="551">
        <f t="shared" ref="F337" si="774">F239-E239</f>
        <v>0</v>
      </c>
      <c r="G337" s="551">
        <f t="shared" ref="G337" si="775">G239-F239</f>
        <v>0</v>
      </c>
      <c r="H337" s="551">
        <f t="shared" ref="H337" si="776">H239-G239</f>
        <v>0</v>
      </c>
      <c r="I337" s="551">
        <f t="shared" ref="I337" si="777">I239-H239</f>
        <v>0</v>
      </c>
      <c r="J337" s="551">
        <f t="shared" ref="J337" si="778">J239-I239</f>
        <v>0</v>
      </c>
    </row>
    <row r="338" spans="1:10" x14ac:dyDescent="0.25">
      <c r="A338" s="5" t="s">
        <v>117</v>
      </c>
      <c r="B338" s="149"/>
      <c r="C338" s="154" t="s">
        <v>136</v>
      </c>
      <c r="D338" s="546"/>
      <c r="E338" s="551">
        <f t="shared" ref="E338:G338" si="779">IF(D22&gt;0,SUM(E247,E249,E251)+E259+SUM(E265,E267,E269,E271)-SUM(D247,D249,D251)-SUM(D265,D267,D269,D271),0)</f>
        <v>0</v>
      </c>
      <c r="F338" s="551">
        <f t="shared" si="779"/>
        <v>2.9802322387695313E-8</v>
      </c>
      <c r="G338" s="551">
        <f t="shared" si="779"/>
        <v>-2.9802322387695313E-8</v>
      </c>
      <c r="H338" s="551">
        <f t="shared" ref="H338" si="780">IF(G22&gt;0,SUM(H247,H249,H251)+H259+SUM(H265,H267,H269,H271)-SUM(G247,G249,G251)-SUM(G265,G267,G269,G271),0)</f>
        <v>202634715.90000007</v>
      </c>
      <c r="I338" s="551">
        <f t="shared" ref="I338" si="781">IF(H22&gt;0,SUM(I247,I249,I251)+I259+SUM(I265,I267,I269,I271)-SUM(H247,H249,H251)-SUM(H265,H267,H269,H271),0)</f>
        <v>5.9604644775390625E-8</v>
      </c>
      <c r="J338" s="551">
        <f t="shared" ref="J338" si="782">IF(I22&gt;0,SUM(J247,J249,J251)+J259+SUM(J265,J267,J269,J271)-SUM(I247,I249,I251)-SUM(I265,I267,I269,I271),0)</f>
        <v>2.9802322387695313E-8</v>
      </c>
    </row>
    <row r="339" spans="1:10" x14ac:dyDescent="0.25">
      <c r="A339" s="154"/>
      <c r="B339" s="149"/>
      <c r="C339" s="4"/>
      <c r="D339" s="546"/>
      <c r="E339" s="505"/>
      <c r="F339" s="505"/>
      <c r="G339" s="505"/>
      <c r="H339" s="505"/>
      <c r="I339" s="505"/>
      <c r="J339" s="505"/>
    </row>
    <row r="340" spans="1:10" x14ac:dyDescent="0.25">
      <c r="A340" s="151" t="s">
        <v>137</v>
      </c>
      <c r="B340" s="150"/>
      <c r="C340" s="207"/>
      <c r="D340" s="555"/>
      <c r="E340" s="548">
        <f t="shared" ref="E340" si="783">SUM(E330:E339)</f>
        <v>-157101161</v>
      </c>
      <c r="F340" s="548">
        <f t="shared" ref="F340" si="784">SUM(F330:F339)</f>
        <v>596944156</v>
      </c>
      <c r="G340" s="548">
        <f t="shared" ref="G340" si="785">SUM(G330:G339)</f>
        <v>241283267.99999997</v>
      </c>
      <c r="H340" s="548">
        <f t="shared" ref="H340" si="786">SUM(H330:H339)</f>
        <v>-0.16803631186485291</v>
      </c>
      <c r="I340" s="548">
        <f t="shared" ref="I340" si="787">SUM(I330:I339)</f>
        <v>68697512.183985025</v>
      </c>
      <c r="J340" s="548">
        <f t="shared" ref="J340" si="788">SUM(J330:J339)</f>
        <v>138644069.38771114</v>
      </c>
    </row>
    <row r="341" spans="1:10" x14ac:dyDescent="0.25">
      <c r="A341" s="5" t="s">
        <v>138</v>
      </c>
      <c r="B341" s="149"/>
      <c r="C341" s="4"/>
      <c r="D341" s="546"/>
      <c r="E341" s="550">
        <f t="shared" ref="E341" si="789">+D98+D100+D102+D104</f>
        <v>0</v>
      </c>
      <c r="F341" s="550">
        <f t="shared" ref="F341" si="790">+E98+E100+E102+E104</f>
        <v>548986626</v>
      </c>
      <c r="G341" s="550">
        <f t="shared" ref="G341" si="791">+F98+F100+F102+F104</f>
        <v>1145930782</v>
      </c>
      <c r="H341" s="550">
        <f t="shared" ref="H341" si="792">+G98+G100+G102+G104</f>
        <v>1387214050</v>
      </c>
      <c r="I341" s="550">
        <f t="shared" ref="I341" si="793">+H98+H100+H102+H104</f>
        <v>1387214050</v>
      </c>
      <c r="J341" s="550">
        <f t="shared" ref="J341" si="794">+I98+I100+I102+I104</f>
        <v>1455911561.96</v>
      </c>
    </row>
    <row r="342" spans="1:10" x14ac:dyDescent="0.25">
      <c r="A342" s="5" t="s">
        <v>139</v>
      </c>
      <c r="B342" s="149"/>
      <c r="C342" s="4"/>
      <c r="D342" s="546"/>
      <c r="E342" s="550">
        <f t="shared" ref="E342:G342" si="795">+E98+E100+E102</f>
        <v>548986626</v>
      </c>
      <c r="F342" s="550">
        <f t="shared" si="795"/>
        <v>1145930782</v>
      </c>
      <c r="G342" s="550">
        <f t="shared" si="795"/>
        <v>1387214050</v>
      </c>
      <c r="H342" s="550">
        <f t="shared" ref="H342" si="796">+H98+H100+H102</f>
        <v>1387214050</v>
      </c>
      <c r="I342" s="550">
        <f t="shared" ref="I342:J342" si="797">+I98+I100+I102</f>
        <v>1455911561.96</v>
      </c>
      <c r="J342" s="550">
        <f t="shared" si="797"/>
        <v>1594555631.552</v>
      </c>
    </row>
    <row r="343" spans="1:10" x14ac:dyDescent="0.25">
      <c r="A343" s="196" t="s">
        <v>140</v>
      </c>
      <c r="B343" s="213"/>
      <c r="C343" s="214"/>
      <c r="D343" s="557"/>
      <c r="E343" s="535" t="e">
        <f t="shared" ref="E343" si="798">IF(D181=0,NA(),+E340+E341-E342)</f>
        <v>#N/A</v>
      </c>
      <c r="F343" s="535">
        <f t="shared" ref="F343" si="799">IF(E181=0,NA(),+F340+F341-F342)</f>
        <v>0</v>
      </c>
      <c r="G343" s="535">
        <f t="shared" ref="G343" si="800">IF(F181=0,NA(),+G340+G341-G342)</f>
        <v>0</v>
      </c>
      <c r="H343" s="535">
        <f t="shared" ref="H343" si="801">IF(G181=0,NA(),+H340+H341-H342)</f>
        <v>-0.16803622245788574</v>
      </c>
      <c r="I343" s="535">
        <f t="shared" ref="I343" si="802">IF(H181=0,NA(),+I340+I341-I342)</f>
        <v>0.22398495674133301</v>
      </c>
      <c r="J343" s="535">
        <f t="shared" ref="J343" si="803">IF(I181=0,NA(),+J340+J341-J342)</f>
        <v>-0.20428895950317383</v>
      </c>
    </row>
    <row r="344" spans="1:10" x14ac:dyDescent="0.25">
      <c r="A344" s="227"/>
      <c r="B344" s="228"/>
      <c r="C344" s="229"/>
      <c r="D344" s="559"/>
      <c r="E344" s="559"/>
      <c r="F344" s="559"/>
      <c r="G344" s="559"/>
      <c r="H344" s="559"/>
      <c r="I344" s="559"/>
      <c r="J344" s="560"/>
    </row>
    <row r="345" spans="1:10" x14ac:dyDescent="0.25">
      <c r="A345" s="6"/>
      <c r="B345" s="151" t="s">
        <v>141</v>
      </c>
      <c r="C345" s="150"/>
      <c r="D345" s="555"/>
      <c r="E345" s="548">
        <f t="shared" ref="E345:G345" si="804">E341</f>
        <v>0</v>
      </c>
      <c r="F345" s="548">
        <f t="shared" si="804"/>
        <v>548986626</v>
      </c>
      <c r="G345" s="548">
        <f t="shared" si="804"/>
        <v>1145930782</v>
      </c>
      <c r="H345" s="548">
        <f t="shared" ref="H345:J345" si="805">H341</f>
        <v>1387214050</v>
      </c>
      <c r="I345" s="548">
        <f t="shared" si="805"/>
        <v>1387214050</v>
      </c>
      <c r="J345" s="549">
        <f t="shared" si="805"/>
        <v>1455911561.96</v>
      </c>
    </row>
    <row r="346" spans="1:10" x14ac:dyDescent="0.25">
      <c r="A346" s="9"/>
      <c r="B346" s="6"/>
      <c r="C346" s="5" t="s">
        <v>142</v>
      </c>
      <c r="D346" s="546"/>
      <c r="E346" s="551">
        <f t="shared" ref="E346:G346" si="806">E309</f>
        <v>513691118</v>
      </c>
      <c r="F346" s="551">
        <f t="shared" si="806"/>
        <v>715642034</v>
      </c>
      <c r="G346" s="551">
        <f t="shared" si="806"/>
        <v>375964850</v>
      </c>
      <c r="H346" s="551">
        <f t="shared" ref="H346:I346" si="807">H309</f>
        <v>-170775911.85136974</v>
      </c>
      <c r="I346" s="551">
        <f t="shared" si="807"/>
        <v>334914076.40648496</v>
      </c>
      <c r="J346" s="552">
        <f>J309</f>
        <v>382346720.95633632</v>
      </c>
    </row>
    <row r="347" spans="1:10" x14ac:dyDescent="0.25">
      <c r="A347" s="9"/>
      <c r="B347" s="6"/>
      <c r="C347" s="5" t="s">
        <v>143</v>
      </c>
      <c r="D347" s="546"/>
      <c r="E347" s="551">
        <f t="shared" ref="E347:G347" si="808">SUM(E320:E328)</f>
        <v>-563141544</v>
      </c>
      <c r="F347" s="551">
        <f t="shared" si="808"/>
        <v>65712948</v>
      </c>
      <c r="G347" s="551">
        <f t="shared" si="808"/>
        <v>49284512</v>
      </c>
      <c r="H347" s="551">
        <f t="shared" ref="H347:J347" si="809">SUM(H320:H328)</f>
        <v>-104951464.21666661</v>
      </c>
      <c r="I347" s="551">
        <f t="shared" si="809"/>
        <v>-150735011.6225</v>
      </c>
      <c r="J347" s="552">
        <f t="shared" si="809"/>
        <v>-205089952.36862522</v>
      </c>
    </row>
    <row r="348" spans="1:10" x14ac:dyDescent="0.25">
      <c r="A348" s="9"/>
      <c r="B348" s="6"/>
      <c r="C348" s="5" t="s">
        <v>144</v>
      </c>
      <c r="D348" s="546"/>
      <c r="E348" s="551">
        <f t="shared" ref="E348:G348" si="810">SUM(E331:E338)+E317</f>
        <v>-107650735</v>
      </c>
      <c r="F348" s="551">
        <f t="shared" si="810"/>
        <v>-184410825.99999997</v>
      </c>
      <c r="G348" s="551">
        <f t="shared" si="810"/>
        <v>-183966094.00000003</v>
      </c>
      <c r="H348" s="551">
        <f t="shared" ref="H348:J348" si="811">SUM(H331:H338)+H317</f>
        <v>275727375.9000001</v>
      </c>
      <c r="I348" s="551">
        <f t="shared" si="811"/>
        <v>-115481552.59999993</v>
      </c>
      <c r="J348" s="552">
        <f t="shared" si="811"/>
        <v>-38612699.199999973</v>
      </c>
    </row>
    <row r="349" spans="1:10" x14ac:dyDescent="0.25">
      <c r="A349" s="193"/>
      <c r="B349" s="155" t="s">
        <v>145</v>
      </c>
      <c r="C349" s="155"/>
      <c r="D349" s="556"/>
      <c r="E349" s="548">
        <f t="shared" ref="E349:G349" si="812">SUM(E346:E348)</f>
        <v>-157101161</v>
      </c>
      <c r="F349" s="548">
        <f t="shared" si="812"/>
        <v>596944156</v>
      </c>
      <c r="G349" s="548">
        <f t="shared" si="812"/>
        <v>241283267.99999997</v>
      </c>
      <c r="H349" s="548">
        <f t="shared" ref="H349:J349" si="813">SUM(H346:H348)</f>
        <v>-0.16803622245788574</v>
      </c>
      <c r="I349" s="548">
        <f t="shared" si="813"/>
        <v>68697512.183985025</v>
      </c>
      <c r="J349" s="549">
        <f t="shared" si="813"/>
        <v>138644069.38771111</v>
      </c>
    </row>
    <row r="350" spans="1:10" x14ac:dyDescent="0.25">
      <c r="A350" s="6"/>
      <c r="B350" s="151" t="s">
        <v>146</v>
      </c>
      <c r="C350" s="150"/>
      <c r="D350" s="555"/>
      <c r="E350" s="548">
        <f t="shared" ref="E350:G350" si="814">E342</f>
        <v>548986626</v>
      </c>
      <c r="F350" s="548">
        <f t="shared" si="814"/>
        <v>1145930782</v>
      </c>
      <c r="G350" s="548">
        <f t="shared" si="814"/>
        <v>1387214050</v>
      </c>
      <c r="H350" s="548">
        <f t="shared" ref="H350:J350" si="815">H342</f>
        <v>1387214050</v>
      </c>
      <c r="I350" s="548">
        <f t="shared" si="815"/>
        <v>1455911561.96</v>
      </c>
      <c r="J350" s="549">
        <f t="shared" si="815"/>
        <v>1594555631.552</v>
      </c>
    </row>
    <row r="351" spans="1:10" x14ac:dyDescent="0.25">
      <c r="A351" s="196" t="s">
        <v>147</v>
      </c>
      <c r="B351" s="197"/>
      <c r="C351" s="198"/>
      <c r="D351" s="508"/>
      <c r="E351" s="535" t="e">
        <f t="shared" ref="E351" si="816">IF(D181=0,NA(),E345+E349-E350)</f>
        <v>#N/A</v>
      </c>
      <c r="F351" s="535">
        <f t="shared" ref="F351" si="817">IF(E181=0,NA(),F345+F349-F350)</f>
        <v>0</v>
      </c>
      <c r="G351" s="535">
        <f t="shared" ref="G351" si="818">IF(F181=0,NA(),G345+G349-G350)</f>
        <v>0</v>
      </c>
      <c r="H351" s="535">
        <f t="shared" ref="H351:J351" si="819">IF(G181=0,NA(),H345+H349-H350)</f>
        <v>-0.16803622245788574</v>
      </c>
      <c r="I351" s="535">
        <f t="shared" si="819"/>
        <v>0.22398495674133301</v>
      </c>
      <c r="J351" s="558">
        <f t="shared" si="819"/>
        <v>-0.20428895950317383</v>
      </c>
    </row>
    <row r="352" spans="1:10" ht="13.8" thickBot="1" x14ac:dyDescent="0.3">
      <c r="A352" s="268"/>
      <c r="B352" s="268"/>
      <c r="C352" s="268"/>
      <c r="D352" s="561"/>
      <c r="E352" s="561"/>
      <c r="F352" s="561"/>
      <c r="G352" s="561"/>
      <c r="H352" s="561"/>
      <c r="I352" s="561"/>
      <c r="J352" s="562"/>
    </row>
  </sheetData>
  <mergeCells count="87">
    <mergeCell ref="A35:C35"/>
    <mergeCell ref="A157:C157"/>
    <mergeCell ref="A168:B168"/>
    <mergeCell ref="A172:C172"/>
    <mergeCell ref="A170:C170"/>
    <mergeCell ref="A161:C161"/>
    <mergeCell ref="A165:C165"/>
    <mergeCell ref="A163:C163"/>
    <mergeCell ref="A149:C149"/>
    <mergeCell ref="A151:C151"/>
    <mergeCell ref="A119:C119"/>
    <mergeCell ref="A129:C129"/>
    <mergeCell ref="A131:C131"/>
    <mergeCell ref="A107:C107"/>
    <mergeCell ref="A113:C113"/>
    <mergeCell ref="A115:C115"/>
    <mergeCell ref="A271:C271"/>
    <mergeCell ref="A205:C205"/>
    <mergeCell ref="A199:C199"/>
    <mergeCell ref="A269:C269"/>
    <mergeCell ref="A257:C257"/>
    <mergeCell ref="A259:C259"/>
    <mergeCell ref="A253:C253"/>
    <mergeCell ref="A255:C255"/>
    <mergeCell ref="A221:C221"/>
    <mergeCell ref="A223:C223"/>
    <mergeCell ref="A225:C225"/>
    <mergeCell ref="A100:C100"/>
    <mergeCell ref="A102:C102"/>
    <mergeCell ref="A105:C105"/>
    <mergeCell ref="A117:C117"/>
    <mergeCell ref="A147:C147"/>
    <mergeCell ref="A145:C145"/>
    <mergeCell ref="A143:C143"/>
    <mergeCell ref="A121:C121"/>
    <mergeCell ref="A123:C123"/>
    <mergeCell ref="A138:C138"/>
    <mergeCell ref="A141:C141"/>
    <mergeCell ref="A133:C133"/>
    <mergeCell ref="A135:C135"/>
    <mergeCell ref="F5:G5"/>
    <mergeCell ref="F6:G6"/>
    <mergeCell ref="F7:G7"/>
    <mergeCell ref="E19:E20"/>
    <mergeCell ref="F19:F20"/>
    <mergeCell ref="G19:G20"/>
    <mergeCell ref="D19:D20"/>
    <mergeCell ref="C16:C17"/>
    <mergeCell ref="D16:J17"/>
    <mergeCell ref="A18:B18"/>
    <mergeCell ref="I19:I20"/>
    <mergeCell ref="J19:J20"/>
    <mergeCell ref="H19:H20"/>
    <mergeCell ref="C19:C20"/>
    <mergeCell ref="A19:B20"/>
    <mergeCell ref="C188:C189"/>
    <mergeCell ref="A5:C5"/>
    <mergeCell ref="A13:C13"/>
    <mergeCell ref="A14:C14"/>
    <mergeCell ref="A21:B21"/>
    <mergeCell ref="A24:C24"/>
    <mergeCell ref="A22:C22"/>
    <mergeCell ref="A26:C26"/>
    <mergeCell ref="A37:C37"/>
    <mergeCell ref="A48:C48"/>
    <mergeCell ref="A81:C81"/>
    <mergeCell ref="A93:B94"/>
    <mergeCell ref="C93:C94"/>
    <mergeCell ref="C95:C96"/>
    <mergeCell ref="A95:B96"/>
    <mergeCell ref="A98:C98"/>
    <mergeCell ref="D93:J94"/>
    <mergeCell ref="D186:J187"/>
    <mergeCell ref="D282:J283"/>
    <mergeCell ref="A1:J2"/>
    <mergeCell ref="A218:C218"/>
    <mergeCell ref="A274:C274"/>
    <mergeCell ref="A276:C276"/>
    <mergeCell ref="A201:C201"/>
    <mergeCell ref="A203:C203"/>
    <mergeCell ref="A215:C215"/>
    <mergeCell ref="A242:C242"/>
    <mergeCell ref="C186:C187"/>
    <mergeCell ref="A188:B189"/>
    <mergeCell ref="A186:B187"/>
    <mergeCell ref="A178:C178"/>
    <mergeCell ref="A181:C181"/>
  </mergeCells>
  <conditionalFormatting sqref="E273:F273 A274 A276">
    <cfRule type="cellIs" dxfId="1" priority="1" stopIfTrue="1" operator="equal">
      <formula>"OK!"</formula>
    </cfRule>
    <cfRule type="cellIs" dxfId="0" priority="2" stopIfTrue="1" operator="equal">
      <formula>"FALSE!"</formula>
    </cfRule>
  </conditionalFormatting>
  <dataValidations count="3">
    <dataValidation type="list" allowBlank="1" showErrorMessage="1" sqref="D14" xr:uid="{00000000-0002-0000-0300-000000000000}">
      <formula1>"Qualified, Unqualified"</formula1>
    </dataValidation>
    <dataValidation type="list" allowBlank="1" showErrorMessage="1" sqref="D12" xr:uid="{00000000-0002-0000-0300-000001000000}">
      <formula1>"Yes, No, Combined"</formula1>
    </dataValidation>
    <dataValidation allowBlank="1" showErrorMessage="1" sqref="E183:F185 A112:C112 G188:J189 G95:J96 E140:F140 E156:F156 E220:F220 E92:F92 B156:C156 E231:J240 D13 G278:J278 B15:B17 A242:A243 E22:J27 E21:F21 A4:A19 E177:F177 A1 C95 C15:D16 A95 B97:C97 B4:C4 B6:C12 B104:C104 A140:C140 B137:C137 A180:C180 E95:F97 E104:F104 E128:F128 B128:C128 E137:F137 C188 C183:C186 B183:B185 A188 A220:C220 E227:F227 A278:C351 E188:F190 B217:C217 E174:F174 A251:C251 A241:C241 E182:J182 E28:F28 B273:C273 E89:F89 E43:F43 C92:C93 E4:F15 B177:C177 A141:A179 A252:A277 E230:F230 G280:J280 B33:C33 B28:C31 B39:C39 B46:C46 B41:C41 B43:C44 D4:D11 B50:C50 B52:C52 E141:J152 B54:C54 B56:C56 B58:C58 B60:C61 E60:F60 B63:C63 B65:C65 B67:C67 B69:C70 E69:F70 G70:J70 B72:C72 B74:C74 B76:C76 B80:C80 B78:C78 A21:A93 E221:J226 B83:C83 E61:J68 B85:C85 B92 B87:C87 B89:C90 E71:J79 A97:A108 E81:J88 E80:F80 E109:F109 E90:J91 A109:C110 D95:D186 A111 E98:J103 E125:F125 B125:C126 E105:J108 A113:A139 E153:F153 B153:C154 E191:J216 B159:C159 E129:J136 E157:J166 G168:J168 C168 B167:C167 E175:J176 B174:C175 E154:J155 A181:A186 E180:F181 G181:J181 G183:J183 A190:C191 B193:C193 B195:C195 B197:C197 B207:C207 B209:C209 B213:C213 B211:C211 E217:F217 E178:J179 D188:D282 A227:C228 A192:A219 A229 A230:C231 A232 A233:C233 A234 A235:C235 A236 A237:C237 A238 A239:C239 A240 E138:J139 E110:J124 A221:A226 A244:C245 A246 A247:C247 A248 A249:C249 A250 E242:J260 E241:F241 E261:F261 B261:C262 E262:J272 B267:C267 B264:C265 E278:F281 E29:J42 E273:F273 E126:J127 E274:J277 E169:J173 E218:J219 E228:J229 D284:J351 E167:F168 E44:J59 D22:D93 C18:J19" xr:uid="{00000000-0002-0000-0300-000002000000}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124"/>
  <sheetViews>
    <sheetView topLeftCell="A41" workbookViewId="0">
      <selection activeCell="B7" sqref="B7:B65"/>
    </sheetView>
  </sheetViews>
  <sheetFormatPr defaultColWidth="9.21875" defaultRowHeight="13.2" x14ac:dyDescent="0.25"/>
  <cols>
    <col min="1" max="1" width="10.21875" style="297" bestFit="1" customWidth="1"/>
    <col min="2" max="2" width="39.77734375" style="297" customWidth="1"/>
    <col min="3" max="3" width="15" style="297" customWidth="1"/>
    <col min="4" max="4" width="13.77734375" style="297" bestFit="1" customWidth="1"/>
    <col min="5" max="9" width="14.44140625" style="297" bestFit="1" customWidth="1"/>
    <col min="10" max="10" width="21.77734375" style="297" bestFit="1" customWidth="1"/>
    <col min="11" max="12" width="9.21875" style="297"/>
    <col min="13" max="13" width="27.5546875" style="297" bestFit="1" customWidth="1"/>
    <col min="14" max="16384" width="9.21875" style="297"/>
  </cols>
  <sheetData>
    <row r="1" spans="1:13" ht="12.75" customHeight="1" x14ac:dyDescent="0.25">
      <c r="A1" s="869" t="s">
        <v>156</v>
      </c>
      <c r="B1" s="870"/>
      <c r="C1" s="870"/>
      <c r="D1" s="870"/>
      <c r="E1" s="870"/>
      <c r="F1" s="870"/>
      <c r="G1" s="870"/>
      <c r="H1" s="870"/>
      <c r="I1" s="870"/>
    </row>
    <row r="2" spans="1:13" ht="26.25" customHeight="1" thickBot="1" x14ac:dyDescent="0.3">
      <c r="A2" s="871"/>
      <c r="B2" s="872"/>
      <c r="C2" s="872"/>
      <c r="D2" s="872"/>
      <c r="E2" s="872"/>
      <c r="F2" s="872"/>
      <c r="G2" s="872"/>
      <c r="H2" s="872"/>
      <c r="I2" s="872"/>
    </row>
    <row r="3" spans="1:13" ht="13.8" thickBot="1" x14ac:dyDescent="0.3">
      <c r="A3" s="339"/>
      <c r="B3" s="339"/>
      <c r="C3" s="339"/>
      <c r="D3" s="339"/>
      <c r="E3" s="339"/>
      <c r="F3" s="339"/>
      <c r="G3" s="339"/>
      <c r="H3" s="339"/>
      <c r="I3" s="340"/>
    </row>
    <row r="4" spans="1:13" ht="13.8" thickBot="1" x14ac:dyDescent="0.3">
      <c r="A4" s="298"/>
      <c r="B4" s="299"/>
      <c r="C4" s="299"/>
      <c r="D4" s="299"/>
      <c r="E4" s="299"/>
      <c r="F4" s="300"/>
      <c r="G4" s="299"/>
      <c r="H4" s="299"/>
      <c r="I4" s="338"/>
    </row>
    <row r="5" spans="1:13" ht="23.25" customHeight="1" thickBot="1" x14ac:dyDescent="0.3">
      <c r="A5" s="301" t="s">
        <v>372</v>
      </c>
      <c r="B5" s="302" t="s">
        <v>198</v>
      </c>
      <c r="C5" s="701"/>
      <c r="D5" s="701">
        <f>Input!E18</f>
        <v>2014</v>
      </c>
      <c r="E5" s="701">
        <f>Input!F18</f>
        <v>2015</v>
      </c>
      <c r="F5" s="701">
        <f>Input!G18</f>
        <v>2016</v>
      </c>
      <c r="G5" s="701">
        <f>Input!H18</f>
        <v>2017</v>
      </c>
      <c r="H5" s="701">
        <f>Input!I18</f>
        <v>2018</v>
      </c>
      <c r="I5" s="701">
        <f>Input!J18</f>
        <v>2019</v>
      </c>
    </row>
    <row r="6" spans="1:13" ht="13.8" thickBot="1" x14ac:dyDescent="0.3">
      <c r="A6" s="572"/>
      <c r="B6" s="573" t="s">
        <v>1797</v>
      </c>
      <c r="C6" s="573"/>
      <c r="D6" s="573"/>
      <c r="E6" s="573"/>
      <c r="F6" s="573"/>
      <c r="G6" s="573"/>
      <c r="H6" s="573"/>
      <c r="I6" s="573"/>
    </row>
    <row r="7" spans="1:13" x14ac:dyDescent="0.25">
      <c r="A7" s="303" t="s">
        <v>163</v>
      </c>
      <c r="B7" s="304" t="s">
        <v>164</v>
      </c>
      <c r="C7" s="305" t="s">
        <v>266</v>
      </c>
      <c r="D7" s="305" t="str">
        <f>IF(C73=0,"NA",D73/C73-1)</f>
        <v>NA</v>
      </c>
      <c r="E7" s="305">
        <f t="shared" ref="E7:I7" si="0">IF(D73=0,"NA",E73/D73-1)</f>
        <v>9.7554672497217831E-2</v>
      </c>
      <c r="F7" s="305">
        <f t="shared" si="0"/>
        <v>-6.3093401332307009E-3</v>
      </c>
      <c r="G7" s="305">
        <f t="shared" si="0"/>
        <v>0.10000000000000009</v>
      </c>
      <c r="H7" s="305">
        <f t="shared" si="0"/>
        <v>0.10000000000000009</v>
      </c>
      <c r="I7" s="614">
        <f t="shared" si="0"/>
        <v>0.12999999999999989</v>
      </c>
    </row>
    <row r="8" spans="1:13" x14ac:dyDescent="0.25">
      <c r="A8" s="307" t="s">
        <v>168</v>
      </c>
      <c r="B8" s="308" t="s">
        <v>347</v>
      </c>
      <c r="C8" s="309" t="str">
        <f t="shared" ref="C8:I8" si="1">IF(C73=0,"NA",C74/C73)</f>
        <v>NA</v>
      </c>
      <c r="D8" s="309">
        <f t="shared" si="1"/>
        <v>0.81128596305618506</v>
      </c>
      <c r="E8" s="309">
        <f t="shared" si="1"/>
        <v>0.7611340303239954</v>
      </c>
      <c r="F8" s="309">
        <f t="shared" si="1"/>
        <v>0.74542471703832047</v>
      </c>
      <c r="G8" s="309">
        <f t="shared" si="1"/>
        <v>0.71154177535476038</v>
      </c>
      <c r="H8" s="309">
        <f t="shared" si="1"/>
        <v>0.71154177535476038</v>
      </c>
      <c r="I8" s="328">
        <f t="shared" si="1"/>
        <v>0.72413543509555256</v>
      </c>
      <c r="J8" s="733" t="s">
        <v>3162</v>
      </c>
    </row>
    <row r="9" spans="1:13" x14ac:dyDescent="0.25">
      <c r="A9" s="303" t="s">
        <v>159</v>
      </c>
      <c r="B9" s="304" t="s">
        <v>160</v>
      </c>
      <c r="C9" s="305" t="str">
        <f t="shared" ref="C9:I9" si="2">IF(C73=0,"NA",C75/C73)</f>
        <v>NA</v>
      </c>
      <c r="D9" s="305">
        <f t="shared" si="2"/>
        <v>0.17210268035235976</v>
      </c>
      <c r="E9" s="305">
        <f t="shared" si="2"/>
        <v>0.218304066695239</v>
      </c>
      <c r="F9" s="306">
        <f t="shared" si="2"/>
        <v>0.22330447638184442</v>
      </c>
      <c r="G9" s="305">
        <f t="shared" si="2"/>
        <v>0.25161956657782458</v>
      </c>
      <c r="H9" s="306">
        <f t="shared" si="2"/>
        <v>0.24994508212021488</v>
      </c>
      <c r="I9" s="329">
        <f t="shared" si="2"/>
        <v>0.23666977383915672</v>
      </c>
      <c r="J9" s="733" t="s">
        <v>3120</v>
      </c>
    </row>
    <row r="10" spans="1:13" x14ac:dyDescent="0.25">
      <c r="A10" s="307" t="s">
        <v>167</v>
      </c>
      <c r="B10" s="308" t="s">
        <v>346</v>
      </c>
      <c r="C10" s="309" t="str">
        <f t="shared" ref="C10:I10" si="3">IF(C105&lt;=0,"NA",(C105/C73))</f>
        <v>NA</v>
      </c>
      <c r="D10" s="309">
        <f t="shared" si="3"/>
        <v>3.6385236644613066E-2</v>
      </c>
      <c r="E10" s="309">
        <f t="shared" si="3"/>
        <v>4.2500828668599444E-2</v>
      </c>
      <c r="F10" s="309">
        <f t="shared" si="3"/>
        <v>5.6003810805476555E-2</v>
      </c>
      <c r="G10" s="309">
        <f t="shared" si="3"/>
        <v>6.8731949624903033E-2</v>
      </c>
      <c r="H10" s="309">
        <f t="shared" si="3"/>
        <v>7.498030868171239E-2</v>
      </c>
      <c r="I10" s="328">
        <f t="shared" si="3"/>
        <v>7.9625106564650341E-2</v>
      </c>
      <c r="J10" s="733" t="s">
        <v>3163</v>
      </c>
      <c r="M10" s="733" t="s">
        <v>3099</v>
      </c>
    </row>
    <row r="11" spans="1:13" x14ac:dyDescent="0.25">
      <c r="A11" s="303" t="s">
        <v>161</v>
      </c>
      <c r="B11" s="304" t="s">
        <v>162</v>
      </c>
      <c r="C11" s="305" t="str">
        <f t="shared" ref="C11:I11" si="4">IF(C73=0,"NA",(C76/C73))</f>
        <v>NA</v>
      </c>
      <c r="D11" s="305">
        <f t="shared" si="4"/>
        <v>0.12289961626696089</v>
      </c>
      <c r="E11" s="305">
        <f t="shared" si="4"/>
        <v>0.15849229773589738</v>
      </c>
      <c r="F11" s="306">
        <f t="shared" si="4"/>
        <v>0.11678613376206295</v>
      </c>
      <c r="G11" s="305">
        <f t="shared" si="4"/>
        <v>0.13478463657085238</v>
      </c>
      <c r="H11" s="306">
        <f t="shared" si="4"/>
        <v>0.1310254933638314</v>
      </c>
      <c r="I11" s="329">
        <f t="shared" si="4"/>
        <v>0.11708964525093304</v>
      </c>
      <c r="M11" s="733" t="s">
        <v>3154</v>
      </c>
    </row>
    <row r="12" spans="1:13" x14ac:dyDescent="0.25">
      <c r="A12" s="307" t="s">
        <v>163</v>
      </c>
      <c r="B12" s="308" t="s">
        <v>379</v>
      </c>
      <c r="C12" s="309" t="e">
        <f t="shared" ref="C12:I12" si="5">C79/C73</f>
        <v>#DIV/0!</v>
      </c>
      <c r="D12" s="309">
        <f t="shared" si="5"/>
        <v>0.13979683884417046</v>
      </c>
      <c r="E12" s="309">
        <f t="shared" si="5"/>
        <v>0.1796812515015607</v>
      </c>
      <c r="F12" s="309">
        <f t="shared" si="5"/>
        <v>0.15012476575352154</v>
      </c>
      <c r="G12" s="309">
        <f t="shared" si="5"/>
        <v>0.17392557163895722</v>
      </c>
      <c r="H12" s="309">
        <f t="shared" si="5"/>
        <v>0.17184091288954603</v>
      </c>
      <c r="I12" s="328">
        <f t="shared" si="5"/>
        <v>0.15939255296459243</v>
      </c>
      <c r="J12" s="733" t="s">
        <v>3119</v>
      </c>
      <c r="M12" s="733" t="s">
        <v>3155</v>
      </c>
    </row>
    <row r="13" spans="1:13" x14ac:dyDescent="0.25">
      <c r="A13" s="303"/>
      <c r="B13" s="304" t="s">
        <v>2896</v>
      </c>
      <c r="C13" s="305"/>
      <c r="D13" s="305"/>
      <c r="E13" s="305">
        <f>(E79-D79)/D79</f>
        <v>0.41068996106208694</v>
      </c>
      <c r="F13" s="305">
        <f t="shared" ref="F13:I13" si="6">(F79-E79)/E79</f>
        <v>-0.16976548027513458</v>
      </c>
      <c r="G13" s="305">
        <f t="shared" si="6"/>
        <v>0.27439418701217944</v>
      </c>
      <c r="H13" s="305">
        <f t="shared" si="6"/>
        <v>8.6815483182010503E-2</v>
      </c>
      <c r="I13" s="305">
        <f t="shared" si="6"/>
        <v>4.8141457242844153E-2</v>
      </c>
    </row>
    <row r="14" spans="1:13" x14ac:dyDescent="0.25">
      <c r="A14" s="735"/>
      <c r="B14" s="304" t="s">
        <v>3161</v>
      </c>
      <c r="C14" s="305"/>
      <c r="D14" s="305">
        <f>(D79+D105)/D73</f>
        <v>0.17618207548878353</v>
      </c>
      <c r="E14" s="305">
        <f t="shared" ref="E14:I14" si="7">(E79+E105)/E73</f>
        <v>0.22218208017016014</v>
      </c>
      <c r="F14" s="305">
        <f t="shared" si="7"/>
        <v>0.20612857655899811</v>
      </c>
      <c r="G14" s="305">
        <f t="shared" si="7"/>
        <v>0.24265752126386025</v>
      </c>
      <c r="H14" s="305">
        <f t="shared" si="7"/>
        <v>0.24682122157125844</v>
      </c>
      <c r="I14" s="305">
        <f t="shared" si="7"/>
        <v>0.23901765952924278</v>
      </c>
      <c r="J14" s="733" t="s">
        <v>3161</v>
      </c>
      <c r="M14" s="736"/>
    </row>
    <row r="15" spans="1:13" x14ac:dyDescent="0.25">
      <c r="A15" s="307" t="s">
        <v>381</v>
      </c>
      <c r="B15" s="308" t="s">
        <v>382</v>
      </c>
      <c r="C15" s="309" t="e">
        <f>Input!D61/Input!D22</f>
        <v>#DIV/0!</v>
      </c>
      <c r="D15" s="309">
        <f>Input!E61/Input!E22</f>
        <v>0.15715343908739662</v>
      </c>
      <c r="E15" s="309">
        <f>Input!F61/Input!F22</f>
        <v>0.21253894092231948</v>
      </c>
      <c r="F15" s="309">
        <f>Input!G61/Input!G22</f>
        <v>0.1718745596799377</v>
      </c>
      <c r="G15" s="309">
        <f>Input!H61/Input!H22</f>
        <v>0.1738621373279744</v>
      </c>
      <c r="H15" s="309">
        <f>Input!I61/Input!I22</f>
        <v>0.16765900851073184</v>
      </c>
      <c r="I15" s="328">
        <f>Input!J61/Input!J22</f>
        <v>0.15156417020939525</v>
      </c>
    </row>
    <row r="16" spans="1:13" x14ac:dyDescent="0.25">
      <c r="A16" s="303" t="s">
        <v>378</v>
      </c>
      <c r="B16" s="304" t="s">
        <v>380</v>
      </c>
      <c r="C16" s="305" t="e">
        <f t="shared" ref="C16:I16" si="8">C82/C73</f>
        <v>#DIV/0!</v>
      </c>
      <c r="D16" s="305">
        <f t="shared" si="8"/>
        <v>0.11819571955773174</v>
      </c>
      <c r="E16" s="305">
        <f t="shared" si="8"/>
        <v>0.14341617511957047</v>
      </c>
      <c r="F16" s="305">
        <f t="shared" si="8"/>
        <v>0.1308313880284811</v>
      </c>
      <c r="G16" s="305">
        <f t="shared" si="8"/>
        <v>0.13474315642918017</v>
      </c>
      <c r="H16" s="305">
        <f t="shared" si="8"/>
        <v>0.1299357315958172</v>
      </c>
      <c r="I16" s="615">
        <f t="shared" si="8"/>
        <v>0.11746223191228131</v>
      </c>
      <c r="J16" s="733" t="s">
        <v>3117</v>
      </c>
    </row>
    <row r="17" spans="1:13" x14ac:dyDescent="0.25">
      <c r="A17" s="307" t="s">
        <v>165</v>
      </c>
      <c r="B17" s="308" t="s">
        <v>352</v>
      </c>
      <c r="C17" s="309" t="str">
        <f t="shared" ref="C17:I17" si="9">IF(C73=0,"NA",C100/C73)</f>
        <v>NA</v>
      </c>
      <c r="D17" s="309">
        <f t="shared" si="9"/>
        <v>0.11819571955773174</v>
      </c>
      <c r="E17" s="309">
        <f t="shared" si="9"/>
        <v>0.14341617511957047</v>
      </c>
      <c r="F17" s="309">
        <f t="shared" si="9"/>
        <v>0.1308313880284811</v>
      </c>
      <c r="G17" s="309">
        <f t="shared" si="9"/>
        <v>0.13474315642918017</v>
      </c>
      <c r="H17" s="309">
        <f t="shared" si="9"/>
        <v>0.1299357315958172</v>
      </c>
      <c r="I17" s="328">
        <f t="shared" si="9"/>
        <v>0.11746223191228131</v>
      </c>
      <c r="M17" s="733" t="s">
        <v>3159</v>
      </c>
    </row>
    <row r="18" spans="1:13" x14ac:dyDescent="0.25">
      <c r="A18" s="303" t="s">
        <v>167</v>
      </c>
      <c r="B18" s="304" t="s">
        <v>377</v>
      </c>
      <c r="C18" s="305" t="e">
        <f t="shared" ref="C18:I18" si="10">C82/C101</f>
        <v>#DIV/0!</v>
      </c>
      <c r="D18" s="305">
        <f t="shared" si="10"/>
        <v>0.1343565495155723</v>
      </c>
      <c r="E18" s="305">
        <f t="shared" si="10"/>
        <v>0.12365478668607842</v>
      </c>
      <c r="F18" s="305">
        <f t="shared" si="10"/>
        <v>9.8467937711070194E-2</v>
      </c>
      <c r="G18" s="305">
        <f t="shared" si="10"/>
        <v>0.10531846654300731</v>
      </c>
      <c r="H18" s="305">
        <f t="shared" si="10"/>
        <v>0.10018096597619304</v>
      </c>
      <c r="I18" s="615">
        <f t="shared" si="10"/>
        <v>8.8754958518184254E-2</v>
      </c>
    </row>
    <row r="19" spans="1:13" x14ac:dyDescent="0.25">
      <c r="A19" s="307" t="s">
        <v>168</v>
      </c>
      <c r="B19" s="308" t="s">
        <v>166</v>
      </c>
      <c r="C19" s="309">
        <f t="shared" ref="C19:I19" si="11">IF(C99&lt;=0,"NA",(C76/C99))</f>
        <v>0</v>
      </c>
      <c r="D19" s="309">
        <f t="shared" si="11"/>
        <v>0.27221416190359105</v>
      </c>
      <c r="E19" s="309">
        <f t="shared" si="11"/>
        <v>0.35148456654797144</v>
      </c>
      <c r="F19" s="309">
        <f t="shared" si="11"/>
        <v>0.23456483483516874</v>
      </c>
      <c r="G19" s="309">
        <f t="shared" si="11"/>
        <v>0.18312550518173282</v>
      </c>
      <c r="H19" s="309">
        <f t="shared" si="11"/>
        <v>0.1731764652516474</v>
      </c>
      <c r="I19" s="328">
        <f t="shared" si="11"/>
        <v>0.15052439702222553</v>
      </c>
      <c r="J19" s="733" t="s">
        <v>3152</v>
      </c>
    </row>
    <row r="20" spans="1:13" x14ac:dyDescent="0.25">
      <c r="A20" s="737"/>
      <c r="B20" s="319" t="s">
        <v>3160</v>
      </c>
      <c r="C20" s="738"/>
      <c r="D20" s="738">
        <f>D73/D99</f>
        <v>2.2149309344651744</v>
      </c>
      <c r="E20" s="738">
        <f t="shared" ref="E20:I20" si="12">E73/E99</f>
        <v>2.2176760105633999</v>
      </c>
      <c r="F20" s="738">
        <f t="shared" si="12"/>
        <v>2.0084990167845187</v>
      </c>
      <c r="G20" s="738">
        <f t="shared" si="12"/>
        <v>1.358652661317739</v>
      </c>
      <c r="H20" s="738">
        <f t="shared" si="12"/>
        <v>1.3217005393810746</v>
      </c>
      <c r="I20" s="738">
        <f t="shared" si="12"/>
        <v>1.2855483223955371</v>
      </c>
      <c r="J20" s="733" t="s">
        <v>3160</v>
      </c>
    </row>
    <row r="21" spans="1:13" ht="13.8" thickBot="1" x14ac:dyDescent="0.3">
      <c r="A21" s="303" t="s">
        <v>169</v>
      </c>
      <c r="B21" s="304" t="s">
        <v>364</v>
      </c>
      <c r="C21" s="305" t="e">
        <f t="shared" ref="C21:I21" si="13">C50*C42*C17</f>
        <v>#VALUE!</v>
      </c>
      <c r="D21" s="305">
        <f t="shared" si="13"/>
        <v>0.27385271683256324</v>
      </c>
      <c r="E21" s="305">
        <f t="shared" si="13"/>
        <v>0.32614161666744373</v>
      </c>
      <c r="F21" s="305">
        <f t="shared" si="13"/>
        <v>0.29502061729965362</v>
      </c>
      <c r="G21" s="305">
        <f t="shared" si="13"/>
        <v>0.21127720567894936</v>
      </c>
      <c r="H21" s="305">
        <f t="shared" si="13"/>
        <v>0.18965026454004777</v>
      </c>
      <c r="I21" s="616">
        <f t="shared" si="13"/>
        <v>0.16229109203395684</v>
      </c>
      <c r="J21" s="733" t="s">
        <v>364</v>
      </c>
    </row>
    <row r="22" spans="1:13" ht="13.8" thickBot="1" x14ac:dyDescent="0.3">
      <c r="A22" s="572"/>
      <c r="B22" s="573" t="s">
        <v>1798</v>
      </c>
      <c r="C22" s="573"/>
      <c r="D22" s="573"/>
      <c r="E22" s="573"/>
      <c r="F22" s="573"/>
      <c r="G22" s="573"/>
      <c r="H22" s="573"/>
      <c r="I22" s="573"/>
    </row>
    <row r="23" spans="1:13" x14ac:dyDescent="0.25">
      <c r="A23" s="307" t="s">
        <v>177</v>
      </c>
      <c r="B23" s="308" t="s">
        <v>151</v>
      </c>
      <c r="C23" s="309" t="str">
        <f t="shared" ref="C23:I23" si="14">IF(C90=0,"NA",(C85/C90))</f>
        <v>NA</v>
      </c>
      <c r="D23" s="667">
        <f t="shared" si="14"/>
        <v>1.2517930614993371</v>
      </c>
      <c r="E23" s="667">
        <f t="shared" si="14"/>
        <v>1.244967840464406</v>
      </c>
      <c r="F23" s="667">
        <f t="shared" si="14"/>
        <v>1.1692161293745884</v>
      </c>
      <c r="G23" s="667">
        <f t="shared" si="14"/>
        <v>1.684130021368297</v>
      </c>
      <c r="H23" s="667">
        <f t="shared" si="14"/>
        <v>1.6526022416735171</v>
      </c>
      <c r="I23" s="668">
        <f t="shared" si="14"/>
        <v>1.6047164000865843</v>
      </c>
    </row>
    <row r="24" spans="1:13" x14ac:dyDescent="0.25">
      <c r="A24" s="303" t="s">
        <v>179</v>
      </c>
      <c r="B24" s="304" t="s">
        <v>152</v>
      </c>
      <c r="C24" s="309" t="str">
        <f t="shared" ref="C24:I24" si="15">IF(C90=0,"NA",(C83/C90))</f>
        <v>NA</v>
      </c>
      <c r="D24" s="667">
        <f t="shared" si="15"/>
        <v>1.1442388954806786</v>
      </c>
      <c r="E24" s="667">
        <f t="shared" si="15"/>
        <v>1.1663789578864225</v>
      </c>
      <c r="F24" s="667">
        <f t="shared" si="15"/>
        <v>1.0904523609305805</v>
      </c>
      <c r="G24" s="667">
        <f t="shared" si="15"/>
        <v>1.5489237643602523</v>
      </c>
      <c r="H24" s="667">
        <f t="shared" si="15"/>
        <v>1.5161196640001497</v>
      </c>
      <c r="I24" s="668">
        <f t="shared" si="15"/>
        <v>1.4582003926327431</v>
      </c>
    </row>
    <row r="25" spans="1:13" x14ac:dyDescent="0.25">
      <c r="A25" s="307" t="s">
        <v>180</v>
      </c>
      <c r="B25" s="308" t="s">
        <v>1799</v>
      </c>
      <c r="C25" s="309" t="str">
        <f>IF(C90=0,"NA",(C84/C90))</f>
        <v>NA</v>
      </c>
      <c r="D25" s="309">
        <f t="shared" ref="D25:I25" si="16">IF(D90=0,"NA",(D84/D90))</f>
        <v>0.80666147754704243</v>
      </c>
      <c r="E25" s="309">
        <f t="shared" si="16"/>
        <v>0.93667380171036452</v>
      </c>
      <c r="F25" s="309">
        <f t="shared" si="16"/>
        <v>0.90427698251193356</v>
      </c>
      <c r="G25" s="309">
        <f t="shared" si="16"/>
        <v>1.2674706002388845</v>
      </c>
      <c r="H25" s="309">
        <f t="shared" si="16"/>
        <v>1.215148594334303</v>
      </c>
      <c r="I25" s="328">
        <f t="shared" si="16"/>
        <v>1.1514936291223599</v>
      </c>
    </row>
    <row r="26" spans="1:13" ht="13.8" thickBot="1" x14ac:dyDescent="0.3">
      <c r="A26" s="303" t="s">
        <v>375</v>
      </c>
      <c r="B26" s="304" t="s">
        <v>367</v>
      </c>
      <c r="C26" s="585">
        <f>Input!D138-Input!D218</f>
        <v>0</v>
      </c>
      <c r="D26" s="310">
        <f>Input!E138-Input!E218</f>
        <v>171361875</v>
      </c>
      <c r="E26" s="310">
        <f>Input!F138-Input!F218</f>
        <v>299694716</v>
      </c>
      <c r="F26" s="310">
        <f>Input!G138-Input!G218</f>
        <v>259587490</v>
      </c>
      <c r="G26" s="310">
        <f>Input!H138-Input!H218</f>
        <v>748762754.33136988</v>
      </c>
      <c r="H26" s="310">
        <f>Input!I138-Input!I218</f>
        <v>781905318.77626014</v>
      </c>
      <c r="I26" s="311">
        <f>Input!J138-Input!J218</f>
        <v>837394073.97750521</v>
      </c>
    </row>
    <row r="27" spans="1:13" ht="13.8" thickBot="1" x14ac:dyDescent="0.3">
      <c r="A27" s="572"/>
      <c r="B27" s="573" t="s">
        <v>1801</v>
      </c>
      <c r="C27" s="573"/>
      <c r="D27" s="573"/>
      <c r="E27" s="573"/>
      <c r="F27" s="573"/>
      <c r="G27" s="573"/>
      <c r="H27" s="573"/>
      <c r="I27" s="573"/>
    </row>
    <row r="28" spans="1:13" x14ac:dyDescent="0.25">
      <c r="A28" s="307" t="s">
        <v>180</v>
      </c>
      <c r="B28" s="308" t="s">
        <v>170</v>
      </c>
      <c r="C28" s="585" t="str">
        <f t="shared" ref="C28:I28" si="17">IF(C73=0,"NA",((C86/C73)*365))</f>
        <v>NA</v>
      </c>
      <c r="D28" s="585">
        <f t="shared" si="17"/>
        <v>6.6520818271662279</v>
      </c>
      <c r="E28" s="585">
        <f t="shared" si="17"/>
        <v>11.068507259983949</v>
      </c>
      <c r="F28" s="585">
        <f t="shared" si="17"/>
        <v>15.122791355109616</v>
      </c>
      <c r="G28" s="585">
        <f t="shared" si="17"/>
        <v>18</v>
      </c>
      <c r="H28" s="585">
        <f t="shared" si="17"/>
        <v>17.999999999999996</v>
      </c>
      <c r="I28" s="586">
        <f t="shared" si="17"/>
        <v>19.799999999999997</v>
      </c>
    </row>
    <row r="29" spans="1:13" x14ac:dyDescent="0.25">
      <c r="A29" s="303" t="s">
        <v>353</v>
      </c>
      <c r="B29" s="304" t="s">
        <v>1804</v>
      </c>
      <c r="C29" s="585" t="e">
        <f>C73/C86</f>
        <v>#DIV/0!</v>
      </c>
      <c r="D29" s="585">
        <f t="shared" ref="D29:I29" si="18">D73/D86</f>
        <v>54.870040610352682</v>
      </c>
      <c r="E29" s="585">
        <f t="shared" si="18"/>
        <v>32.976443112576433</v>
      </c>
      <c r="F29" s="585">
        <f t="shared" si="18"/>
        <v>24.135755855460872</v>
      </c>
      <c r="G29" s="585">
        <f t="shared" si="18"/>
        <v>20.277777777777779</v>
      </c>
      <c r="H29" s="585">
        <f t="shared" si="18"/>
        <v>20.277777777777779</v>
      </c>
      <c r="I29" s="586">
        <f t="shared" si="18"/>
        <v>18.434343434343436</v>
      </c>
    </row>
    <row r="30" spans="1:13" x14ac:dyDescent="0.25">
      <c r="A30" s="307" t="s">
        <v>354</v>
      </c>
      <c r="B30" s="308" t="s">
        <v>172</v>
      </c>
      <c r="C30" s="585" t="str">
        <f t="shared" ref="C30:I30" si="19">IF(C74=0,"NA",((C87/C74)*365))</f>
        <v>NA</v>
      </c>
      <c r="D30" s="585">
        <f t="shared" si="19"/>
        <v>61.110925511524883</v>
      </c>
      <c r="E30" s="585">
        <f t="shared" si="19"/>
        <v>72.594286685657977</v>
      </c>
      <c r="F30" s="585">
        <f t="shared" si="19"/>
        <v>75.810974033078878</v>
      </c>
      <c r="G30" s="585">
        <f t="shared" si="19"/>
        <v>77.873599574987452</v>
      </c>
      <c r="H30" s="585">
        <f t="shared" si="19"/>
        <v>82.873599574987452</v>
      </c>
      <c r="I30" s="586">
        <f t="shared" si="19"/>
        <v>84.876896977379062</v>
      </c>
    </row>
    <row r="31" spans="1:13" x14ac:dyDescent="0.25">
      <c r="A31" s="303" t="s">
        <v>355</v>
      </c>
      <c r="B31" s="304" t="s">
        <v>1802</v>
      </c>
      <c r="C31" s="585" t="e">
        <f>C73/C87</f>
        <v>#DIV/0!</v>
      </c>
      <c r="D31" s="585">
        <f t="shared" ref="D31:I31" si="20">D73/D87</f>
        <v>7.3620716793345879</v>
      </c>
      <c r="E31" s="585">
        <f t="shared" si="20"/>
        <v>6.6058587411228835</v>
      </c>
      <c r="F31" s="585">
        <f t="shared" si="20"/>
        <v>6.4588767715855493</v>
      </c>
      <c r="G31" s="585">
        <f t="shared" si="20"/>
        <v>6.5872206593458333</v>
      </c>
      <c r="H31" s="585">
        <f t="shared" si="20"/>
        <v>6.1897948993252712</v>
      </c>
      <c r="I31" s="586">
        <f t="shared" si="20"/>
        <v>5.9385931194630173</v>
      </c>
    </row>
    <row r="32" spans="1:13" x14ac:dyDescent="0.25">
      <c r="A32" s="307" t="s">
        <v>356</v>
      </c>
      <c r="B32" s="308" t="s">
        <v>174</v>
      </c>
      <c r="C32" s="585" t="str">
        <f t="shared" ref="C32:I32" si="21">IF(C74=0,"NA",((C88/C74)*365))</f>
        <v>NA</v>
      </c>
      <c r="D32" s="585">
        <f t="shared" si="21"/>
        <v>21.578923708014027</v>
      </c>
      <c r="E32" s="585">
        <f t="shared" si="21"/>
        <v>14.459732196411919</v>
      </c>
      <c r="F32" s="585">
        <f t="shared" si="21"/>
        <v>18.365793771612431</v>
      </c>
      <c r="G32" s="585">
        <f t="shared" si="21"/>
        <v>13</v>
      </c>
      <c r="H32" s="585">
        <f t="shared" si="21"/>
        <v>13</v>
      </c>
      <c r="I32" s="586">
        <f t="shared" si="21"/>
        <v>13</v>
      </c>
    </row>
    <row r="33" spans="1:10" x14ac:dyDescent="0.25">
      <c r="A33" s="303" t="s">
        <v>357</v>
      </c>
      <c r="B33" s="304" t="s">
        <v>1803</v>
      </c>
      <c r="C33" s="585" t="e">
        <f>C73/C88</f>
        <v>#DIV/0!</v>
      </c>
      <c r="D33" s="585">
        <f t="shared" ref="D33:I33" si="22">D73/D88</f>
        <v>20.849186923963078</v>
      </c>
      <c r="E33" s="585">
        <f t="shared" si="22"/>
        <v>33.164348878953007</v>
      </c>
      <c r="F33" s="585">
        <f t="shared" si="22"/>
        <v>26.661180306313501</v>
      </c>
      <c r="G33" s="585">
        <f t="shared" si="22"/>
        <v>39.459275687537094</v>
      </c>
      <c r="H33" s="585">
        <f t="shared" si="22"/>
        <v>39.459275687537094</v>
      </c>
      <c r="I33" s="586">
        <f t="shared" si="22"/>
        <v>38.773027414710363</v>
      </c>
    </row>
    <row r="34" spans="1:10" x14ac:dyDescent="0.25">
      <c r="A34" s="307" t="s">
        <v>373</v>
      </c>
      <c r="B34" s="308" t="s">
        <v>365</v>
      </c>
      <c r="C34" s="585" t="e">
        <f>(Input!D203/-Input!D24)*365</f>
        <v>#DIV/0!</v>
      </c>
      <c r="D34" s="585">
        <f>(Input!E203/-Input!E24)*365</f>
        <v>2.6353727129991462</v>
      </c>
      <c r="E34" s="585">
        <f>(Input!F203/-Input!F24)*365</f>
        <v>4.1132430444021173</v>
      </c>
      <c r="F34" s="585">
        <f>(Input!G203/-Input!G24)*365</f>
        <v>7.5778870284332278</v>
      </c>
      <c r="G34" s="585">
        <f>(Input!H203/-Input!H24)*365</f>
        <v>5</v>
      </c>
      <c r="H34" s="585">
        <f>(Input!I203/-Input!I24)*365</f>
        <v>5</v>
      </c>
      <c r="I34" s="586">
        <f>(Input!J203/-Input!J24)*365</f>
        <v>5</v>
      </c>
    </row>
    <row r="35" spans="1:10" x14ac:dyDescent="0.25">
      <c r="A35" s="303" t="s">
        <v>374</v>
      </c>
      <c r="B35" s="304" t="s">
        <v>366</v>
      </c>
      <c r="C35" s="585" t="e">
        <f>(Input!D205/Input!D22)*365</f>
        <v>#DIV/0!</v>
      </c>
      <c r="D35" s="585">
        <f>(Input!E205/Input!E22)*365</f>
        <v>9.1557719567740072</v>
      </c>
      <c r="E35" s="585">
        <f>(Input!F205/Input!F22)*365</f>
        <v>8.8945479273597403</v>
      </c>
      <c r="F35" s="585">
        <f>(Input!G205/Input!G22)*365</f>
        <v>10.879369007716933</v>
      </c>
      <c r="G35" s="585">
        <f>(Input!H205/Input!H22)*365</f>
        <v>10</v>
      </c>
      <c r="H35" s="585">
        <f>(Input!I205/Input!I22)*365</f>
        <v>10</v>
      </c>
      <c r="I35" s="586">
        <f>(Input!J205/Input!J22)*365</f>
        <v>9.9999999999999982</v>
      </c>
    </row>
    <row r="36" spans="1:10" x14ac:dyDescent="0.25">
      <c r="A36" s="307"/>
      <c r="B36" s="308" t="s">
        <v>3113</v>
      </c>
      <c r="C36" s="309" t="e">
        <f>Input!D110/Input!$D$22</f>
        <v>#DIV/0!</v>
      </c>
      <c r="D36" s="309">
        <f>Input!E110/Input!E22</f>
        <v>1.8224881718263638E-2</v>
      </c>
      <c r="E36" s="309">
        <f>Input!F110/Input!F22</f>
        <v>3.0324677424613561E-2</v>
      </c>
      <c r="F36" s="309">
        <f>Input!G110/Input!G22</f>
        <v>4.1432305082492099E-2</v>
      </c>
      <c r="G36" s="309">
        <f>Input!H110/Input!H22</f>
        <v>4.9315068493150684E-2</v>
      </c>
      <c r="H36" s="309">
        <f>Input!I110/Input!I22</f>
        <v>4.9315068493150677E-2</v>
      </c>
      <c r="I36" s="309">
        <f>Input!J110/Input!J22</f>
        <v>5.4246575342465748E-2</v>
      </c>
      <c r="J36" s="733" t="s">
        <v>3164</v>
      </c>
    </row>
    <row r="37" spans="1:10" x14ac:dyDescent="0.25">
      <c r="A37" s="307"/>
      <c r="B37" s="308" t="s">
        <v>3110</v>
      </c>
      <c r="C37" s="309" t="e">
        <f>Input!D126/Input!D22</f>
        <v>#DIV/0!</v>
      </c>
      <c r="D37" s="309">
        <f>Input!E126/Input!E22</f>
        <v>0.1358313316626637</v>
      </c>
      <c r="E37" s="309">
        <f>Input!F126/Input!F22</f>
        <v>0.15138077261246688</v>
      </c>
      <c r="F37" s="309">
        <f>Input!G126/Input!G22</f>
        <v>0.15482568182741721</v>
      </c>
      <c r="G37" s="309">
        <f>Input!H126/Input!H22</f>
        <v>0.1518090939584994</v>
      </c>
      <c r="H37" s="309">
        <f>Input!I126/Input!I22</f>
        <v>0.16155624156609885</v>
      </c>
      <c r="I37" s="309">
        <f>Input!J126/Input!J22</f>
        <v>0.16839005129390353</v>
      </c>
      <c r="J37" s="733" t="s">
        <v>3165</v>
      </c>
    </row>
    <row r="38" spans="1:10" x14ac:dyDescent="0.25">
      <c r="A38" s="307"/>
      <c r="B38" s="308" t="s">
        <v>3109</v>
      </c>
      <c r="C38" s="309" t="e">
        <f>Input!D201/Input!D22</f>
        <v>#DIV/0!</v>
      </c>
      <c r="D38" s="309">
        <f>Input!E201/Input!E22</f>
        <v>4.7963501101841381E-2</v>
      </c>
      <c r="E38" s="309">
        <f>Input!F201/Input!F22</f>
        <v>3.0152860942631896E-2</v>
      </c>
      <c r="F38" s="309">
        <f>Input!G201/Input!G22</f>
        <v>3.7507716781885872E-2</v>
      </c>
      <c r="G38" s="309">
        <f>Input!H201/Input!H22</f>
        <v>2.5342583779758589E-2</v>
      </c>
      <c r="H38" s="309">
        <f>Input!I201/Input!I22</f>
        <v>2.5342583779758589E-2</v>
      </c>
      <c r="I38" s="309">
        <f>Input!J201/Input!J22</f>
        <v>2.5791125085595026E-2</v>
      </c>
      <c r="J38" s="733" t="s">
        <v>3166</v>
      </c>
    </row>
    <row r="39" spans="1:10" x14ac:dyDescent="0.25">
      <c r="A39" s="307"/>
      <c r="B39" s="308" t="s">
        <v>3106</v>
      </c>
      <c r="C39" s="672" t="e">
        <f>C26/C73</f>
        <v>#DIV/0!</v>
      </c>
      <c r="D39" s="672">
        <f t="shared" ref="D39:I39" si="23">D26/D73</f>
        <v>0.10131420240200291</v>
      </c>
      <c r="E39" s="672">
        <f t="shared" si="23"/>
        <v>0.16143921874477499</v>
      </c>
      <c r="F39" s="672">
        <f t="shared" si="23"/>
        <v>0.14072216653538469</v>
      </c>
      <c r="G39" s="672">
        <f t="shared" si="23"/>
        <v>0.36900334383501499</v>
      </c>
      <c r="H39" s="672">
        <f t="shared" si="23"/>
        <v>0.35030597963930621</v>
      </c>
      <c r="I39" s="672">
        <f t="shared" si="23"/>
        <v>0.33200515196789016</v>
      </c>
      <c r="J39" s="297" t="s">
        <v>3167</v>
      </c>
    </row>
    <row r="40" spans="1:10" x14ac:dyDescent="0.25">
      <c r="A40" s="307" t="s">
        <v>376</v>
      </c>
      <c r="B40" s="308" t="s">
        <v>368</v>
      </c>
      <c r="C40" s="585" t="e">
        <f>(Input!D133/Input!D24)*-365</f>
        <v>#DIV/0!</v>
      </c>
      <c r="D40" s="585">
        <f>(Input!E133/Input!E24)*-365</f>
        <v>0</v>
      </c>
      <c r="E40" s="585">
        <f>(Input!F133/Input!F24)*-365</f>
        <v>0</v>
      </c>
      <c r="F40" s="585">
        <f>(Input!G133/Input!G24)*-365</f>
        <v>0</v>
      </c>
      <c r="G40" s="585">
        <f>(Input!H129/Input!H24)*-365</f>
        <v>2.9999999999999996</v>
      </c>
      <c r="H40" s="585">
        <f>(Input!I129/Input!I24)*-365</f>
        <v>4</v>
      </c>
      <c r="I40" s="586">
        <f>(Input!J129/Input!J24)*-365</f>
        <v>5.9999999999999991</v>
      </c>
    </row>
    <row r="41" spans="1:10" x14ac:dyDescent="0.25">
      <c r="A41" s="303" t="s">
        <v>359</v>
      </c>
      <c r="B41" s="304" t="s">
        <v>1805</v>
      </c>
      <c r="C41" s="585" t="e">
        <f t="shared" ref="C41:I41" si="24">C28+C30-C32</f>
        <v>#VALUE!</v>
      </c>
      <c r="D41" s="585">
        <f t="shared" si="24"/>
        <v>46.18408363067708</v>
      </c>
      <c r="E41" s="585">
        <f t="shared" si="24"/>
        <v>69.203061749230002</v>
      </c>
      <c r="F41" s="585">
        <f t="shared" si="24"/>
        <v>72.56797161657606</v>
      </c>
      <c r="G41" s="585">
        <f t="shared" si="24"/>
        <v>82.873599574987452</v>
      </c>
      <c r="H41" s="585">
        <f t="shared" si="24"/>
        <v>87.873599574987452</v>
      </c>
      <c r="I41" s="586">
        <f t="shared" si="24"/>
        <v>91.676896977379059</v>
      </c>
    </row>
    <row r="42" spans="1:10" x14ac:dyDescent="0.25">
      <c r="A42" s="307" t="s">
        <v>171</v>
      </c>
      <c r="B42" s="308" t="s">
        <v>349</v>
      </c>
      <c r="C42" s="585" t="str">
        <f t="shared" ref="C42:I42" si="25">IF(C101=0,"NA",C73/C101)</f>
        <v>NA</v>
      </c>
      <c r="D42" s="585">
        <f t="shared" si="25"/>
        <v>1.1367294011856914</v>
      </c>
      <c r="E42" s="585">
        <f t="shared" si="25"/>
        <v>0.86220948636361017</v>
      </c>
      <c r="F42" s="585">
        <f t="shared" si="25"/>
        <v>0.75263237052590459</v>
      </c>
      <c r="G42" s="585">
        <f t="shared" si="25"/>
        <v>0.781623863757131</v>
      </c>
      <c r="H42" s="585">
        <f t="shared" si="25"/>
        <v>0.77100397824225586</v>
      </c>
      <c r="I42" s="586">
        <f t="shared" si="25"/>
        <v>0.75560422335976785</v>
      </c>
    </row>
    <row r="43" spans="1:10" x14ac:dyDescent="0.25">
      <c r="A43" s="303" t="s">
        <v>175</v>
      </c>
      <c r="B43" s="304" t="s">
        <v>351</v>
      </c>
      <c r="C43" s="585" t="str">
        <f t="shared" ref="C43:I43" si="26">IF(C104=0,"NA",C104/C73)</f>
        <v>NA</v>
      </c>
      <c r="D43" s="585">
        <f t="shared" si="26"/>
        <v>-4.9039381596226769E-2</v>
      </c>
      <c r="E43" s="585">
        <f t="shared" si="26"/>
        <v>-2.7292958661289172E-2</v>
      </c>
      <c r="F43" s="585">
        <f t="shared" si="26"/>
        <v>-3.6829347415364332E-2</v>
      </c>
      <c r="G43" s="585">
        <f t="shared" si="26"/>
        <v>-1.8441825488257693E-3</v>
      </c>
      <c r="H43" s="585">
        <f t="shared" si="26"/>
        <v>1.0524697269413191E-4</v>
      </c>
      <c r="I43" s="586">
        <f t="shared" si="26"/>
        <v>9.0695199420640291E-3</v>
      </c>
    </row>
    <row r="44" spans="1:10" ht="13.8" thickBot="1" x14ac:dyDescent="0.3">
      <c r="A44" s="307" t="s">
        <v>173</v>
      </c>
      <c r="B44" s="308" t="s">
        <v>350</v>
      </c>
      <c r="C44" s="585" t="str">
        <f>IF(C101=0,"NA",C73/C103)</f>
        <v>NA</v>
      </c>
      <c r="D44" s="585">
        <f>IF(D101=0,"NA",D73/D103)</f>
        <v>2.8987915297697331</v>
      </c>
      <c r="E44" s="585">
        <f>IF(E101=0,"NA",E73/E103)</f>
        <v>3.1663285027693573</v>
      </c>
      <c r="F44" s="585">
        <f>IF(F101=0,"NA",F73/F103)</f>
        <v>3.207749694758073</v>
      </c>
      <c r="G44" s="585">
        <f>IF(G103=0,"NA",G73/G103)</f>
        <v>2.8749025047740622</v>
      </c>
      <c r="H44" s="585">
        <f>IF(H101=0,"NA",H73/H103)</f>
        <v>2.571640637390471</v>
      </c>
      <c r="I44" s="586">
        <f>IF(I101=0,"NA",I73/I103)</f>
        <v>2.3597593367391254</v>
      </c>
    </row>
    <row r="45" spans="1:10" ht="13.8" thickBot="1" x14ac:dyDescent="0.3">
      <c r="A45" s="572"/>
      <c r="B45" s="573" t="s">
        <v>1806</v>
      </c>
      <c r="C45" s="573"/>
      <c r="D45" s="573"/>
      <c r="E45" s="573"/>
      <c r="F45" s="573"/>
      <c r="G45" s="573"/>
      <c r="H45" s="573"/>
      <c r="I45" s="573"/>
    </row>
    <row r="46" spans="1:10" x14ac:dyDescent="0.25">
      <c r="A46" s="307" t="s">
        <v>356</v>
      </c>
      <c r="B46" s="308" t="s">
        <v>153</v>
      </c>
      <c r="C46" s="587">
        <f t="shared" ref="C46:I46" si="27">IF(C95=0,"NA",(C89/C95))</f>
        <v>0</v>
      </c>
      <c r="D46" s="587">
        <f t="shared" si="27"/>
        <v>1.0382535709643457</v>
      </c>
      <c r="E46" s="587">
        <f t="shared" si="27"/>
        <v>1.6375171184874326</v>
      </c>
      <c r="F46" s="587">
        <f t="shared" si="27"/>
        <v>1.9961084202384611</v>
      </c>
      <c r="G46" s="587">
        <f t="shared" si="27"/>
        <v>1.006079395193225</v>
      </c>
      <c r="H46" s="587">
        <f t="shared" si="27"/>
        <v>0.89307682048884762</v>
      </c>
      <c r="I46" s="588">
        <f t="shared" si="27"/>
        <v>0.82852986172591425</v>
      </c>
    </row>
    <row r="47" spans="1:10" x14ac:dyDescent="0.25">
      <c r="A47" s="303" t="s">
        <v>355</v>
      </c>
      <c r="B47" s="304" t="s">
        <v>176</v>
      </c>
      <c r="C47" s="587">
        <f t="shared" ref="C47:I47" si="28">IF(C95=0,"NA",(C91/C95))</f>
        <v>0</v>
      </c>
      <c r="D47" s="587">
        <f t="shared" si="28"/>
        <v>4.6056436855154287E-2</v>
      </c>
      <c r="E47" s="587">
        <f t="shared" si="28"/>
        <v>2.5439364981247194E-2</v>
      </c>
      <c r="F47" s="587">
        <f t="shared" si="28"/>
        <v>0.12271311254449052</v>
      </c>
      <c r="G47" s="587">
        <f t="shared" si="28"/>
        <v>0.1540841692792973</v>
      </c>
      <c r="H47" s="587">
        <f t="shared" si="28"/>
        <v>0.10431199518945615</v>
      </c>
      <c r="I47" s="588">
        <f t="shared" si="28"/>
        <v>7.475142089279517E-2</v>
      </c>
      <c r="J47" s="733" t="s">
        <v>3150</v>
      </c>
    </row>
    <row r="48" spans="1:10" x14ac:dyDescent="0.25">
      <c r="A48" s="307" t="s">
        <v>383</v>
      </c>
      <c r="B48" s="308" t="s">
        <v>384</v>
      </c>
      <c r="C48" s="587" t="e">
        <f t="shared" ref="C48:I48" si="29">C89/C101</f>
        <v>#DIV/0!</v>
      </c>
      <c r="D48" s="587">
        <f t="shared" si="29"/>
        <v>0.50938390873178918</v>
      </c>
      <c r="E48" s="587">
        <f t="shared" si="29"/>
        <v>0.62085554137617061</v>
      </c>
      <c r="F48" s="587">
        <f t="shared" si="29"/>
        <v>0.66623370728339337</v>
      </c>
      <c r="G48" s="587">
        <f t="shared" si="29"/>
        <v>0.50151524288558835</v>
      </c>
      <c r="H48" s="587">
        <f t="shared" si="29"/>
        <v>0.47175941876225008</v>
      </c>
      <c r="I48" s="588">
        <f t="shared" si="29"/>
        <v>0.45311256820660367</v>
      </c>
    </row>
    <row r="49" spans="1:10" x14ac:dyDescent="0.25">
      <c r="A49" s="303" t="s">
        <v>358</v>
      </c>
      <c r="B49" s="304" t="s">
        <v>154</v>
      </c>
      <c r="C49" s="587" t="str">
        <f t="shared" ref="C49:I49" si="30">IF(C79=0,"NA",C91/C79)</f>
        <v>NA</v>
      </c>
      <c r="D49" s="587">
        <f t="shared" si="30"/>
        <v>0.14219282411357897</v>
      </c>
      <c r="E49" s="587">
        <f t="shared" si="30"/>
        <v>6.2258036324578603E-2</v>
      </c>
      <c r="F49" s="587">
        <f t="shared" si="30"/>
        <v>0.36249181997685825</v>
      </c>
      <c r="G49" s="587">
        <f t="shared" si="30"/>
        <v>0.56500026855026564</v>
      </c>
      <c r="H49" s="587">
        <f t="shared" si="30"/>
        <v>0.41589416219654229</v>
      </c>
      <c r="I49" s="588">
        <f t="shared" si="30"/>
        <v>0.33943372613806905</v>
      </c>
    </row>
    <row r="50" spans="1:10" x14ac:dyDescent="0.25">
      <c r="A50" s="307" t="s">
        <v>169</v>
      </c>
      <c r="B50" s="308" t="s">
        <v>348</v>
      </c>
      <c r="C50" s="587">
        <f t="shared" ref="C50:I50" si="31">IF(C102=0,"NA",C101/C102)</f>
        <v>0</v>
      </c>
      <c r="D50" s="587">
        <f t="shared" si="31"/>
        <v>2.0382535709643457</v>
      </c>
      <c r="E50" s="587">
        <f t="shared" si="31"/>
        <v>2.6375171184874326</v>
      </c>
      <c r="F50" s="587">
        <f t="shared" si="31"/>
        <v>2.9961084202384609</v>
      </c>
      <c r="G50" s="587">
        <f t="shared" si="31"/>
        <v>2.0060793953230727</v>
      </c>
      <c r="H50" s="587">
        <f t="shared" si="31"/>
        <v>1.8930768204522621</v>
      </c>
      <c r="I50" s="588">
        <f t="shared" si="31"/>
        <v>1.828529861807173</v>
      </c>
    </row>
    <row r="51" spans="1:10" x14ac:dyDescent="0.25">
      <c r="A51" s="303" t="s">
        <v>357</v>
      </c>
      <c r="B51" s="304" t="s">
        <v>178</v>
      </c>
      <c r="C51" s="587" t="str">
        <f t="shared" ref="C51:I51" si="32">IF(C80=0,"NA",C76/C80)</f>
        <v>NA</v>
      </c>
      <c r="D51" s="587">
        <f t="shared" si="32"/>
        <v>517.51101761374241</v>
      </c>
      <c r="E51" s="587">
        <f t="shared" si="32"/>
        <v>1104.3604051179818</v>
      </c>
      <c r="F51" s="587">
        <f t="shared" si="32"/>
        <v>7.6426558230886652</v>
      </c>
      <c r="G51" s="587">
        <f t="shared" si="32"/>
        <v>10.550789196781187</v>
      </c>
      <c r="H51" s="587">
        <f t="shared" si="32"/>
        <v>14.102725601401094</v>
      </c>
      <c r="I51" s="588">
        <f t="shared" si="32"/>
        <v>18.988161746142513</v>
      </c>
    </row>
    <row r="52" spans="1:10" x14ac:dyDescent="0.25">
      <c r="A52" s="307" t="s">
        <v>388</v>
      </c>
      <c r="B52" s="308" t="s">
        <v>405</v>
      </c>
      <c r="C52" s="587" t="e">
        <f t="shared" ref="C52:I52" si="33">C110/C79</f>
        <v>#DIV/0!</v>
      </c>
      <c r="D52" s="587">
        <f t="shared" si="33"/>
        <v>-2.1795843536132655</v>
      </c>
      <c r="E52" s="587">
        <f t="shared" si="33"/>
        <v>-3.3732073967927967</v>
      </c>
      <c r="F52" s="587">
        <f t="shared" si="33"/>
        <v>-4.6467256860282653</v>
      </c>
      <c r="G52" s="587">
        <f t="shared" si="33"/>
        <v>-3.3656654211208767</v>
      </c>
      <c r="H52" s="587">
        <f t="shared" si="33"/>
        <v>-3.379892602107927</v>
      </c>
      <c r="I52" s="588">
        <f t="shared" si="33"/>
        <v>-3.6268756704362488</v>
      </c>
    </row>
    <row r="53" spans="1:10" x14ac:dyDescent="0.25">
      <c r="A53" s="303" t="s">
        <v>359</v>
      </c>
      <c r="B53" s="304" t="s">
        <v>181</v>
      </c>
      <c r="C53" s="587" t="str">
        <f>IF(C98=0,"NA",C97/C98)</f>
        <v>NA</v>
      </c>
      <c r="D53" s="587">
        <f t="shared" ref="D53:I53" si="34">IF(D79=0,"NA",D97/D98)</f>
        <v>-2.9121641248567314</v>
      </c>
      <c r="E53" s="587">
        <f t="shared" si="34"/>
        <v>-3.6957599501768934</v>
      </c>
      <c r="F53" s="587">
        <f t="shared" si="34"/>
        <v>-1.3348843701866107</v>
      </c>
      <c r="G53" s="587">
        <f t="shared" si="34"/>
        <v>-5.0982349275417063</v>
      </c>
      <c r="H53" s="587">
        <f t="shared" si="34"/>
        <v>2.900152178993868</v>
      </c>
      <c r="I53" s="588">
        <f t="shared" si="34"/>
        <v>6.8974180448440592</v>
      </c>
    </row>
    <row r="54" spans="1:10" ht="13.8" thickBot="1" x14ac:dyDescent="0.3">
      <c r="A54" s="307" t="s">
        <v>386</v>
      </c>
      <c r="B54" s="308" t="s">
        <v>387</v>
      </c>
      <c r="C54" s="587" t="e">
        <f t="shared" ref="C54:I54" si="35">C106/C91</f>
        <v>#DIV/0!</v>
      </c>
      <c r="D54" s="587">
        <f t="shared" si="35"/>
        <v>6.2778126147977131</v>
      </c>
      <c r="E54" s="587">
        <f t="shared" si="35"/>
        <v>14.218688927267575</v>
      </c>
      <c r="F54" s="587">
        <f t="shared" si="35"/>
        <v>1.7731892717615283</v>
      </c>
      <c r="G54" s="587">
        <f t="shared" si="35"/>
        <v>0.83356317981308026</v>
      </c>
      <c r="H54" s="587">
        <f t="shared" si="35"/>
        <v>1.8766206643227352</v>
      </c>
      <c r="I54" s="588">
        <f t="shared" si="35"/>
        <v>2.3157705227106558</v>
      </c>
    </row>
    <row r="55" spans="1:10" ht="13.8" thickBot="1" x14ac:dyDescent="0.3">
      <c r="A55" s="572"/>
      <c r="B55" s="573" t="s">
        <v>1807</v>
      </c>
      <c r="C55" s="573"/>
      <c r="D55" s="573"/>
      <c r="E55" s="573"/>
      <c r="F55" s="573"/>
      <c r="G55" s="573"/>
      <c r="H55" s="573"/>
      <c r="I55" s="573"/>
    </row>
    <row r="56" spans="1:10" x14ac:dyDescent="0.25">
      <c r="A56" s="303" t="s">
        <v>389</v>
      </c>
      <c r="B56" s="304" t="s">
        <v>421</v>
      </c>
      <c r="C56" s="589" t="e">
        <f>C82/C109</f>
        <v>#DIV/0!</v>
      </c>
      <c r="D56" s="589">
        <f t="shared" ref="D56:I56" si="36">D82/D109</f>
        <v>508.6898524173028</v>
      </c>
      <c r="E56" s="589">
        <f t="shared" si="36"/>
        <v>677.44746819338422</v>
      </c>
      <c r="F56" s="589">
        <f t="shared" si="36"/>
        <v>614.10218829516543</v>
      </c>
      <c r="G56" s="589">
        <f t="shared" si="36"/>
        <v>459.02955203040329</v>
      </c>
      <c r="H56" s="589">
        <f t="shared" si="36"/>
        <v>486.91730602563973</v>
      </c>
      <c r="I56" s="590">
        <f t="shared" si="36"/>
        <v>497.39716617327116</v>
      </c>
    </row>
    <row r="57" spans="1:10" x14ac:dyDescent="0.25">
      <c r="A57" s="307" t="s">
        <v>390</v>
      </c>
      <c r="B57" s="308" t="s">
        <v>1777</v>
      </c>
      <c r="C57" s="589" t="e">
        <f t="shared" ref="C57:I57" si="37">C81/C109</f>
        <v>#DIV/0!</v>
      </c>
      <c r="D57" s="589">
        <f t="shared" si="37"/>
        <v>447.82010178117048</v>
      </c>
      <c r="E57" s="589">
        <f t="shared" si="37"/>
        <v>457.82086768447834</v>
      </c>
      <c r="F57" s="589">
        <f t="shared" si="37"/>
        <v>609.70272010178121</v>
      </c>
      <c r="G57" s="589">
        <f t="shared" si="37"/>
        <v>0</v>
      </c>
      <c r="H57" s="589">
        <f t="shared" si="37"/>
        <v>92.109861187491617</v>
      </c>
      <c r="I57" s="590">
        <f t="shared" si="37"/>
        <v>0</v>
      </c>
    </row>
    <row r="58" spans="1:10" x14ac:dyDescent="0.25">
      <c r="A58" s="303"/>
      <c r="B58" s="304" t="s">
        <v>1810</v>
      </c>
      <c r="C58" s="589" t="e">
        <f t="shared" ref="C58:I58" si="38">C111/C56</f>
        <v>#DIV/0!</v>
      </c>
      <c r="D58" s="589">
        <f t="shared" si="38"/>
        <v>1.9658343787437138E-2</v>
      </c>
      <c r="E58" s="589">
        <f t="shared" si="38"/>
        <v>1.6237421374287193E-2</v>
      </c>
      <c r="F58" s="589">
        <f t="shared" si="38"/>
        <v>1.9540721770286634E-2</v>
      </c>
      <c r="G58" s="589">
        <f t="shared" si="38"/>
        <v>2.8320616706479413E-2</v>
      </c>
      <c r="H58" s="589">
        <f t="shared" si="38"/>
        <v>2.8752315489198897E-2</v>
      </c>
      <c r="I58" s="590">
        <f t="shared" si="38"/>
        <v>3.0156987253069038E-2</v>
      </c>
    </row>
    <row r="59" spans="1:10" x14ac:dyDescent="0.25">
      <c r="A59" s="307"/>
      <c r="B59" s="308" t="s">
        <v>1811</v>
      </c>
      <c r="C59" s="589" t="e">
        <f>C57/C56</f>
        <v>#DIV/0!</v>
      </c>
      <c r="D59" s="589">
        <f t="shared" ref="D59:I59" si="39">D57/D56</f>
        <v>0.88034015157393397</v>
      </c>
      <c r="E59" s="589">
        <f t="shared" si="39"/>
        <v>0.67580275841224158</v>
      </c>
      <c r="F59" s="589">
        <f t="shared" si="39"/>
        <v>0.99283593467465447</v>
      </c>
      <c r="G59" s="589">
        <f t="shared" si="39"/>
        <v>0</v>
      </c>
      <c r="H59" s="589">
        <f t="shared" si="39"/>
        <v>0.18916941346636254</v>
      </c>
      <c r="I59" s="590">
        <f t="shared" si="39"/>
        <v>0</v>
      </c>
      <c r="J59" s="733" t="s">
        <v>3156</v>
      </c>
    </row>
    <row r="60" spans="1:10" x14ac:dyDescent="0.25">
      <c r="A60" s="303"/>
      <c r="B60" s="304" t="s">
        <v>1812</v>
      </c>
      <c r="C60" s="589" t="e">
        <f t="shared" ref="C60:I60" si="40">C57/C111</f>
        <v>#DIV/0!</v>
      </c>
      <c r="D60" s="589">
        <f t="shared" si="40"/>
        <v>44.782010178117048</v>
      </c>
      <c r="E60" s="589">
        <f t="shared" si="40"/>
        <v>41.620078880407121</v>
      </c>
      <c r="F60" s="589">
        <f t="shared" si="40"/>
        <v>50.80856000848177</v>
      </c>
      <c r="G60" s="589">
        <f t="shared" si="40"/>
        <v>0</v>
      </c>
      <c r="H60" s="589">
        <f t="shared" si="40"/>
        <v>6.5792757991065445</v>
      </c>
      <c r="I60" s="590">
        <f t="shared" si="40"/>
        <v>0</v>
      </c>
    </row>
    <row r="61" spans="1:10" ht="13.8" thickBot="1" x14ac:dyDescent="0.3">
      <c r="A61" s="574"/>
      <c r="B61" s="575" t="s">
        <v>1813</v>
      </c>
      <c r="C61" s="576" t="e">
        <f>C102/C109</f>
        <v>#DIV/0!</v>
      </c>
      <c r="D61" s="576">
        <f t="shared" ref="D61:I61" si="41">D102/D109</f>
        <v>1857.5307862595421</v>
      </c>
      <c r="E61" s="576">
        <f t="shared" si="41"/>
        <v>2077.1573867684479</v>
      </c>
      <c r="F61" s="576">
        <f t="shared" si="41"/>
        <v>2081.556854961832</v>
      </c>
      <c r="G61" s="576">
        <f t="shared" si="41"/>
        <v>2172.6411543322433</v>
      </c>
      <c r="H61" s="576">
        <f t="shared" si="41"/>
        <v>2567.4485991703914</v>
      </c>
      <c r="I61" s="577">
        <f t="shared" si="41"/>
        <v>3064.8457653436622</v>
      </c>
    </row>
    <row r="62" spans="1:10" x14ac:dyDescent="0.25">
      <c r="A62" s="303"/>
      <c r="B62" s="304" t="s">
        <v>3205</v>
      </c>
      <c r="C62" s="589"/>
      <c r="D62" s="589">
        <f>Input!E63/-Input!E61</f>
        <v>0.24789606740963274</v>
      </c>
      <c r="E62" s="589">
        <f>Input!F63/-Input!F61</f>
        <v>0.32522400602350121</v>
      </c>
      <c r="F62" s="589">
        <f>Input!G63/-Input!G61</f>
        <v>0.23879724682865566</v>
      </c>
      <c r="G62" s="589">
        <f>Input!H63/-Input!H61</f>
        <v>0.22499999999999998</v>
      </c>
      <c r="H62" s="589">
        <f>Input!I63/-Input!I61</f>
        <v>0.22500000000000001</v>
      </c>
      <c r="I62" s="589">
        <f>Input!J63/-Input!J61</f>
        <v>0.22500000000000006</v>
      </c>
      <c r="J62" s="733" t="s">
        <v>3151</v>
      </c>
    </row>
    <row r="63" spans="1:10" ht="13.8" thickBot="1" x14ac:dyDescent="0.3">
      <c r="A63" s="574"/>
      <c r="B63" s="575" t="s">
        <v>3153</v>
      </c>
      <c r="C63" s="576"/>
      <c r="D63" s="734">
        <f>Input!E191/D91</f>
        <v>0</v>
      </c>
      <c r="E63" s="734">
        <f>Input!F191/E91</f>
        <v>0</v>
      </c>
      <c r="F63" s="734">
        <f>Input!G191/F91</f>
        <v>0.92454089670631134</v>
      </c>
      <c r="G63" s="734">
        <f>Input!H191/G91</f>
        <v>0</v>
      </c>
      <c r="H63" s="734">
        <f>Input!I191/H91</f>
        <v>0</v>
      </c>
      <c r="I63" s="734">
        <f>Input!J191/I91</f>
        <v>0.12326327846758571</v>
      </c>
      <c r="J63" s="733" t="s">
        <v>3153</v>
      </c>
    </row>
    <row r="64" spans="1:10" x14ac:dyDescent="0.25">
      <c r="A64" s="303"/>
      <c r="B64" s="304" t="s">
        <v>3157</v>
      </c>
      <c r="D64" s="667">
        <f>Input!E320/-Ratios!D77</f>
        <v>21.415860593291043</v>
      </c>
      <c r="E64" s="667">
        <f>Input!F320/-Ratios!E77</f>
        <v>1.0714605167769518</v>
      </c>
      <c r="F64" s="667">
        <f>Input!G320/-Ratios!F77</f>
        <v>0.81752503291225043</v>
      </c>
      <c r="G64" s="667">
        <f>Input!H320/-Ratios!G77</f>
        <v>2.6461874714093385</v>
      </c>
      <c r="H64" s="667">
        <f>Input!I320/-Ratios!H77</f>
        <v>2.7797333396593129</v>
      </c>
      <c r="I64" s="667">
        <f>Input!J320/-Ratios!I77</f>
        <v>2.9222669433304453</v>
      </c>
      <c r="J64" s="733" t="s">
        <v>3157</v>
      </c>
    </row>
    <row r="65" spans="1:10" ht="13.8" thickBot="1" x14ac:dyDescent="0.3">
      <c r="A65" s="574"/>
      <c r="B65" s="575" t="s">
        <v>3158</v>
      </c>
      <c r="C65" s="576"/>
      <c r="D65" s="576">
        <f>-Input!E320/Ratios!D73</f>
        <v>0.36186856312733029</v>
      </c>
      <c r="E65" s="576">
        <f>-Input!F320/Ratios!E73</f>
        <v>2.2703127351720555E-2</v>
      </c>
      <c r="F65" s="576">
        <f>-Input!G320/Ratios!F73</f>
        <v>2.7255166216066596E-2</v>
      </c>
      <c r="G65" s="576">
        <f>-Input!H320/Ratios!G73</f>
        <v>0.10357425199646551</v>
      </c>
      <c r="H65" s="576">
        <f>-Input!I320/Ratios!H73</f>
        <v>0.11345598242781064</v>
      </c>
      <c r="I65" s="576">
        <f>-Input!J320/Ratios!I73</f>
        <v>0.12108689429045003</v>
      </c>
      <c r="J65" s="733" t="s">
        <v>3158</v>
      </c>
    </row>
    <row r="66" spans="1:10" x14ac:dyDescent="0.25">
      <c r="A66" s="303"/>
      <c r="B66" s="304"/>
      <c r="C66" s="589"/>
      <c r="D66" s="589"/>
      <c r="E66" s="589"/>
      <c r="F66" s="589"/>
      <c r="G66" s="589"/>
      <c r="H66" s="589"/>
      <c r="I66" s="590"/>
    </row>
    <row r="67" spans="1:10" ht="13.8" thickBot="1" x14ac:dyDescent="0.3">
      <c r="A67" s="574"/>
      <c r="B67" s="575"/>
      <c r="C67" s="576"/>
      <c r="D67" s="576"/>
      <c r="E67" s="576"/>
      <c r="F67" s="576"/>
      <c r="G67" s="576"/>
      <c r="H67" s="576"/>
      <c r="I67" s="577"/>
    </row>
    <row r="68" spans="1:10" x14ac:dyDescent="0.25">
      <c r="A68" s="303"/>
      <c r="B68" s="304"/>
      <c r="C68" s="589"/>
      <c r="D68" s="589"/>
      <c r="E68" s="589"/>
      <c r="F68" s="589"/>
      <c r="G68" s="589"/>
      <c r="H68" s="589"/>
      <c r="I68" s="590"/>
    </row>
    <row r="69" spans="1:10" ht="13.8" thickBot="1" x14ac:dyDescent="0.3">
      <c r="A69" s="574"/>
      <c r="B69" s="575"/>
      <c r="C69" s="576"/>
      <c r="D69" s="576"/>
      <c r="E69" s="576"/>
      <c r="F69" s="576"/>
      <c r="G69" s="576"/>
      <c r="H69" s="576"/>
      <c r="I69" s="577"/>
    </row>
    <row r="70" spans="1:10" ht="13.8" thickBot="1" x14ac:dyDescent="0.3">
      <c r="A70" s="312"/>
      <c r="B70" s="312"/>
      <c r="C70" s="313"/>
      <c r="D70" s="313"/>
      <c r="E70" s="313"/>
      <c r="F70" s="312"/>
      <c r="G70" s="312"/>
      <c r="H70" s="312"/>
      <c r="I70" s="314"/>
    </row>
    <row r="71" spans="1:10" ht="32.4" thickBot="1" x14ac:dyDescent="0.3">
      <c r="A71" s="867" t="s">
        <v>182</v>
      </c>
      <c r="B71" s="868"/>
      <c r="C71" s="868"/>
      <c r="D71" s="868"/>
      <c r="E71" s="868"/>
      <c r="F71" s="868"/>
      <c r="G71" s="868"/>
      <c r="H71" s="868"/>
      <c r="I71" s="868"/>
    </row>
    <row r="72" spans="1:10" x14ac:dyDescent="0.25">
      <c r="A72" s="578"/>
      <c r="B72" s="579"/>
      <c r="C72" s="580"/>
      <c r="D72" s="702">
        <f>D5</f>
        <v>2014</v>
      </c>
      <c r="E72" s="702">
        <f t="shared" ref="E72:I72" si="42">E5</f>
        <v>2015</v>
      </c>
      <c r="F72" s="702">
        <f t="shared" si="42"/>
        <v>2016</v>
      </c>
      <c r="G72" s="702">
        <f t="shared" si="42"/>
        <v>2017</v>
      </c>
      <c r="H72" s="702">
        <f>H5</f>
        <v>2018</v>
      </c>
      <c r="I72" s="702">
        <f t="shared" si="42"/>
        <v>2019</v>
      </c>
    </row>
    <row r="73" spans="1:10" x14ac:dyDescent="0.25">
      <c r="A73" s="581">
        <v>1</v>
      </c>
      <c r="B73" s="315" t="s">
        <v>183</v>
      </c>
      <c r="C73" s="316">
        <f>Input!D22</f>
        <v>0</v>
      </c>
      <c r="D73" s="316">
        <f>Input!E22</f>
        <v>1691390456</v>
      </c>
      <c r="E73" s="316">
        <f>Input!F22</f>
        <v>1856393498</v>
      </c>
      <c r="F73" s="316">
        <f>Input!G22</f>
        <v>1844680880</v>
      </c>
      <c r="G73" s="316">
        <f>Input!H22</f>
        <v>2029148968.0000002</v>
      </c>
      <c r="H73" s="316">
        <f>Input!I22</f>
        <v>2232063864.8000007</v>
      </c>
      <c r="I73" s="317">
        <f>Input!J22</f>
        <v>2522232167.2240005</v>
      </c>
    </row>
    <row r="74" spans="1:10" x14ac:dyDescent="0.25">
      <c r="A74" s="582">
        <f>A73+1</f>
        <v>2</v>
      </c>
      <c r="B74" s="308" t="s">
        <v>184</v>
      </c>
      <c r="C74" s="310">
        <f>-Input!D24</f>
        <v>0</v>
      </c>
      <c r="D74" s="310">
        <f>-Input!E24</f>
        <v>1372201335</v>
      </c>
      <c r="E74" s="310">
        <f>-Input!F24</f>
        <v>1412964265</v>
      </c>
      <c r="F74" s="310">
        <f>-Input!G24</f>
        <v>1375070723</v>
      </c>
      <c r="G74" s="310">
        <f>-Input!H24</f>
        <v>1443824259.1500001</v>
      </c>
      <c r="H74" s="310">
        <f>-Input!I24</f>
        <v>1588206685.0650003</v>
      </c>
      <c r="I74" s="311">
        <f>-Input!J24</f>
        <v>1826437687.8247502</v>
      </c>
    </row>
    <row r="75" spans="1:10" x14ac:dyDescent="0.25">
      <c r="A75" s="581">
        <f t="shared" ref="A75:A99" si="43">A74+1</f>
        <v>3</v>
      </c>
      <c r="B75" s="315" t="s">
        <v>185</v>
      </c>
      <c r="C75" s="316">
        <f>Input!D29</f>
        <v>0</v>
      </c>
      <c r="D75" s="316">
        <f>Input!E29</f>
        <v>291092831</v>
      </c>
      <c r="E75" s="316">
        <f>Input!F29</f>
        <v>405258250</v>
      </c>
      <c r="F75" s="316">
        <f>Input!G29</f>
        <v>411925498</v>
      </c>
      <c r="G75" s="316">
        <f>Input!H29</f>
        <v>510573583.85000014</v>
      </c>
      <c r="H75" s="316">
        <f>Input!I29</f>
        <v>557893385.98500037</v>
      </c>
      <c r="I75" s="317">
        <f>Input!J29</f>
        <v>596936116.58675027</v>
      </c>
    </row>
    <row r="76" spans="1:10" x14ac:dyDescent="0.25">
      <c r="A76" s="582">
        <f t="shared" si="43"/>
        <v>4</v>
      </c>
      <c r="B76" s="308" t="s">
        <v>148</v>
      </c>
      <c r="C76" s="310">
        <f>Input!D44</f>
        <v>0</v>
      </c>
      <c r="D76" s="310">
        <f>Input!E44</f>
        <v>207871238</v>
      </c>
      <c r="E76" s="310">
        <f>Input!F44</f>
        <v>294224071</v>
      </c>
      <c r="F76" s="310">
        <f>Input!G44</f>
        <v>215433148</v>
      </c>
      <c r="G76" s="310">
        <f>Input!H44</f>
        <v>273498106.20000017</v>
      </c>
      <c r="H76" s="310">
        <f>Input!I44</f>
        <v>292457269.10500038</v>
      </c>
      <c r="I76" s="311">
        <f>Input!J44</f>
        <v>295327269.70075023</v>
      </c>
    </row>
    <row r="77" spans="1:10" ht="12.75" customHeight="1" x14ac:dyDescent="0.25">
      <c r="A77" s="581">
        <f t="shared" si="43"/>
        <v>5</v>
      </c>
      <c r="B77" s="315" t="s">
        <v>11</v>
      </c>
      <c r="C77" s="316">
        <f>-(Input!D26+Input!D31)</f>
        <v>0</v>
      </c>
      <c r="D77" s="316">
        <f>-(Input!E26+Input!E31)</f>
        <v>28579801</v>
      </c>
      <c r="E77" s="316">
        <f>-(Input!F26+Input!F31)</f>
        <v>39335036</v>
      </c>
      <c r="F77" s="316">
        <f>-(Input!G26+Input!G31)</f>
        <v>61499137</v>
      </c>
      <c r="G77" s="316">
        <f>-(Input!H26+Input!H31)</f>
        <v>79422788</v>
      </c>
      <c r="H77" s="316">
        <f>-(Input!I26+Input!I31)</f>
        <v>91102623.049999997</v>
      </c>
      <c r="I77" s="317">
        <f>-(Input!J26+Input!J31)</f>
        <v>104511075.04249999</v>
      </c>
    </row>
    <row r="78" spans="1:10" ht="12.75" customHeight="1" x14ac:dyDescent="0.25">
      <c r="A78" s="582">
        <f t="shared" si="43"/>
        <v>6</v>
      </c>
      <c r="B78" s="308" t="s">
        <v>112</v>
      </c>
      <c r="C78" s="310">
        <f>-(Input!D39+Input!D41)</f>
        <v>0</v>
      </c>
      <c r="D78" s="310">
        <f>-(Input!E39+Input!E41)</f>
        <v>0</v>
      </c>
      <c r="E78" s="310">
        <f>-(Input!F39+Input!F41)</f>
        <v>0</v>
      </c>
      <c r="F78" s="310">
        <f>-(Input!G39+Input!G41)</f>
        <v>0</v>
      </c>
      <c r="G78" s="310">
        <f>-(Input!H39+Input!H41)</f>
        <v>0</v>
      </c>
      <c r="H78" s="310">
        <f>-(Input!I39+Input!I41)</f>
        <v>0</v>
      </c>
      <c r="I78" s="311">
        <f>-(Input!J39+Input!J41)</f>
        <v>2186679.56</v>
      </c>
    </row>
    <row r="79" spans="1:10" ht="12.75" customHeight="1" x14ac:dyDescent="0.25">
      <c r="A79" s="581">
        <f t="shared" si="43"/>
        <v>7</v>
      </c>
      <c r="B79" s="315" t="s">
        <v>113</v>
      </c>
      <c r="C79" s="316">
        <f>Input!D290</f>
        <v>0</v>
      </c>
      <c r="D79" s="316">
        <f>Input!E290</f>
        <v>236451039</v>
      </c>
      <c r="E79" s="316">
        <f>Input!F290</f>
        <v>333559107</v>
      </c>
      <c r="F79" s="316">
        <f>Input!G290</f>
        <v>276932285</v>
      </c>
      <c r="G79" s="316">
        <f>Input!H290</f>
        <v>352920894.20000017</v>
      </c>
      <c r="H79" s="316">
        <f>Input!I290</f>
        <v>383559892.15500039</v>
      </c>
      <c r="I79" s="317">
        <f>Input!J290</f>
        <v>402025024.30325025</v>
      </c>
    </row>
    <row r="80" spans="1:10" ht="12.75" customHeight="1" x14ac:dyDescent="0.25">
      <c r="A80" s="582">
        <f t="shared" si="43"/>
        <v>8</v>
      </c>
      <c r="B80" s="308" t="s">
        <v>186</v>
      </c>
      <c r="C80" s="310">
        <f>-Input!D46-Input!D47</f>
        <v>0</v>
      </c>
      <c r="D80" s="310">
        <f>-Input!E46-Input!E47</f>
        <v>401675</v>
      </c>
      <c r="E80" s="310">
        <f>-Input!F46-Input!F47</f>
        <v>266420.3367274538</v>
      </c>
      <c r="F80" s="310">
        <f>-Input!G46-Input!G47</f>
        <v>28188257.19577359</v>
      </c>
      <c r="G80" s="310">
        <f>-Input!H46</f>
        <v>25922052</v>
      </c>
      <c r="H80" s="310">
        <f>-Input!I46</f>
        <v>20737641.600000001</v>
      </c>
      <c r="I80" s="311">
        <f>-Input!J46</f>
        <v>15553231.200000001</v>
      </c>
    </row>
    <row r="81" spans="1:9" ht="12.75" customHeight="1" x14ac:dyDescent="0.25">
      <c r="A81" s="581">
        <f t="shared" si="43"/>
        <v>9</v>
      </c>
      <c r="B81" s="315" t="s">
        <v>150</v>
      </c>
      <c r="C81" s="316">
        <f>-Input!D85</f>
        <v>0</v>
      </c>
      <c r="D81" s="316">
        <f>-Input!E85</f>
        <v>175993300</v>
      </c>
      <c r="E81" s="316">
        <f>-Input!F85</f>
        <v>179923601</v>
      </c>
      <c r="F81" s="316">
        <f>-Input!G85</f>
        <v>239613169</v>
      </c>
      <c r="G81" s="316">
        <f>-Input!H85</f>
        <v>0</v>
      </c>
      <c r="H81" s="316">
        <f>-Input!I85</f>
        <v>54863831</v>
      </c>
      <c r="I81" s="317">
        <f>-Input!J85</f>
        <v>0</v>
      </c>
    </row>
    <row r="82" spans="1:9" ht="12.75" customHeight="1" x14ac:dyDescent="0.25">
      <c r="A82" s="582">
        <f t="shared" si="43"/>
        <v>10</v>
      </c>
      <c r="B82" s="308" t="s">
        <v>31</v>
      </c>
      <c r="C82" s="310">
        <f>Input!D81</f>
        <v>0</v>
      </c>
      <c r="D82" s="310">
        <f>Input!E81</f>
        <v>199915112</v>
      </c>
      <c r="E82" s="310">
        <f>Input!F81</f>
        <v>266236855</v>
      </c>
      <c r="F82" s="310">
        <f>Input!G81</f>
        <v>241342160</v>
      </c>
      <c r="G82" s="310">
        <f>Input!H81</f>
        <v>273413936.81333351</v>
      </c>
      <c r="H82" s="310">
        <f>Input!I81</f>
        <v>290024851.24137527</v>
      </c>
      <c r="I82" s="311">
        <f>Input!J81</f>
        <v>296267019.76308143</v>
      </c>
    </row>
    <row r="83" spans="1:9" ht="12.75" customHeight="1" x14ac:dyDescent="0.25">
      <c r="A83" s="581">
        <f t="shared" si="43"/>
        <v>11</v>
      </c>
      <c r="B83" s="315" t="s">
        <v>187</v>
      </c>
      <c r="C83" s="316">
        <f>Input!D98+Input!D102+Input!D126+Input!D133+Input!D100</f>
        <v>0</v>
      </c>
      <c r="D83" s="316">
        <f>Input!E98+Input!E102+Input!E126+Input!E133+Input!E100</f>
        <v>778730444</v>
      </c>
      <c r="E83" s="316">
        <f>Input!F98+Input!F102+Input!F126+Input!F133+Input!F100</f>
        <v>1426953064</v>
      </c>
      <c r="F83" s="316">
        <f>Input!G98+Input!G102+Input!G126+Input!G133+Input!G100</f>
        <v>1672818025</v>
      </c>
      <c r="G83" s="316">
        <f>Input!H98+Input!H102+Input!H126+Input!H133+Input!H100</f>
        <v>1695257316.3389041</v>
      </c>
      <c r="H83" s="316">
        <f>Input!I98+Input!I102+Input!I126+Input!I133+Input!I100</f>
        <v>1816515410.8925891</v>
      </c>
      <c r="I83" s="317">
        <f>Input!J98+Input!J102+Input!J126+Input!J133+Input!J100</f>
        <v>2019274435.5659828</v>
      </c>
    </row>
    <row r="84" spans="1:9" ht="12.75" customHeight="1" x14ac:dyDescent="0.25">
      <c r="A84" s="582">
        <v>12</v>
      </c>
      <c r="B84" s="308" t="s">
        <v>1800</v>
      </c>
      <c r="C84" s="310">
        <f>Input!D98+Input!D102+Input!D100</f>
        <v>0</v>
      </c>
      <c r="D84" s="310">
        <f>Input!E98+Input!E102+Input!E100</f>
        <v>548986626</v>
      </c>
      <c r="E84" s="310">
        <f>Input!F98+Input!F102+Input!F100</f>
        <v>1145930782</v>
      </c>
      <c r="F84" s="310">
        <f>Input!G98+Input!G102+Input!G100</f>
        <v>1387214050</v>
      </c>
      <c r="G84" s="310">
        <f>Input!H98+Input!H102+Input!H100</f>
        <v>1387214050</v>
      </c>
      <c r="H84" s="310">
        <f>Input!I98+Input!I102+Input!I100</f>
        <v>1455911561.96</v>
      </c>
      <c r="I84" s="311">
        <f>Input!J98+Input!J102+Input!J100</f>
        <v>1594555631.552</v>
      </c>
    </row>
    <row r="85" spans="1:9" ht="12.75" customHeight="1" x14ac:dyDescent="0.25">
      <c r="A85" s="581">
        <v>13</v>
      </c>
      <c r="B85" s="315" t="s">
        <v>188</v>
      </c>
      <c r="C85" s="316">
        <f>Input!D138</f>
        <v>0</v>
      </c>
      <c r="D85" s="316">
        <f>Input!E138</f>
        <v>851928186</v>
      </c>
      <c r="E85" s="316">
        <f>Input!F138</f>
        <v>1523099043</v>
      </c>
      <c r="F85" s="316">
        <f>Input!G138</f>
        <v>1793646276</v>
      </c>
      <c r="G85" s="316">
        <f>Input!H138</f>
        <v>1843237095.3839726</v>
      </c>
      <c r="H85" s="316">
        <f>Input!I138</f>
        <v>1980039908.0341234</v>
      </c>
      <c r="I85" s="317">
        <f>Input!J138</f>
        <v>2222165636.0810065</v>
      </c>
    </row>
    <row r="86" spans="1:9" ht="12.75" customHeight="1" x14ac:dyDescent="0.25">
      <c r="A86" s="582">
        <v>14</v>
      </c>
      <c r="B86" s="308" t="s">
        <v>189</v>
      </c>
      <c r="C86" s="310">
        <f>Input!D110</f>
        <v>0</v>
      </c>
      <c r="D86" s="310">
        <f>Input!E110</f>
        <v>30825391</v>
      </c>
      <c r="E86" s="310">
        <f>Input!F110</f>
        <v>56294534</v>
      </c>
      <c r="F86" s="310">
        <f>Input!G110</f>
        <v>76429381</v>
      </c>
      <c r="G86" s="310">
        <f>Input!H110</f>
        <v>100067620.33972603</v>
      </c>
      <c r="H86" s="310">
        <f>Input!I110</f>
        <v>110074382.37369865</v>
      </c>
      <c r="I86" s="311">
        <f>Input!J110</f>
        <v>136822457.29050741</v>
      </c>
    </row>
    <row r="87" spans="1:9" ht="12.75" customHeight="1" x14ac:dyDescent="0.25">
      <c r="A87" s="581">
        <v>15</v>
      </c>
      <c r="B87" s="315" t="s">
        <v>190</v>
      </c>
      <c r="C87" s="316">
        <f>Input!D126</f>
        <v>0</v>
      </c>
      <c r="D87" s="316">
        <f>Input!E126</f>
        <v>229743818</v>
      </c>
      <c r="E87" s="316">
        <f>Input!F126</f>
        <v>281022282</v>
      </c>
      <c r="F87" s="316">
        <f>Input!G126</f>
        <v>285603975</v>
      </c>
      <c r="G87" s="316">
        <f>Input!H126</f>
        <v>308043266.33890414</v>
      </c>
      <c r="H87" s="316">
        <f>Input!I126</f>
        <v>360603848.93258911</v>
      </c>
      <c r="I87" s="317">
        <f>Input!J126</f>
        <v>424718804.01398289</v>
      </c>
    </row>
    <row r="88" spans="1:9" x14ac:dyDescent="0.25">
      <c r="A88" s="582">
        <v>16</v>
      </c>
      <c r="B88" s="308" t="s">
        <v>191</v>
      </c>
      <c r="C88" s="310">
        <f>Input!D201</f>
        <v>0</v>
      </c>
      <c r="D88" s="310">
        <f>Input!E201</f>
        <v>81125008</v>
      </c>
      <c r="E88" s="310">
        <f>Input!F201</f>
        <v>55975575</v>
      </c>
      <c r="F88" s="310">
        <f>Input!G201</f>
        <v>69189768</v>
      </c>
      <c r="G88" s="310">
        <f>Input!H201</f>
        <v>51423877.723150685</v>
      </c>
      <c r="H88" s="310">
        <f>Input!I201</f>
        <v>56566265.495465763</v>
      </c>
      <c r="I88" s="311">
        <f>Input!J201</f>
        <v>65051205.319785625</v>
      </c>
    </row>
    <row r="89" spans="1:9" x14ac:dyDescent="0.25">
      <c r="A89" s="581">
        <v>17</v>
      </c>
      <c r="B89" s="315" t="s">
        <v>192</v>
      </c>
      <c r="C89" s="316">
        <f>Input!D242</f>
        <v>0</v>
      </c>
      <c r="D89" s="316">
        <f>Input!E242</f>
        <v>757935073</v>
      </c>
      <c r="E89" s="316">
        <f>Input!F242</f>
        <v>1336742646</v>
      </c>
      <c r="F89" s="316">
        <f>Input!G242</f>
        <v>1632920174</v>
      </c>
      <c r="G89" s="316">
        <f>Input!H242</f>
        <v>1301967845.0526028</v>
      </c>
      <c r="H89" s="316">
        <f>Input!I242</f>
        <v>1365748013.2578633</v>
      </c>
      <c r="I89" s="317">
        <f>Input!J242</f>
        <v>1512504906.1035013</v>
      </c>
    </row>
    <row r="90" spans="1:9" x14ac:dyDescent="0.25">
      <c r="A90" s="582">
        <v>18</v>
      </c>
      <c r="B90" s="308" t="s">
        <v>193</v>
      </c>
      <c r="C90" s="310">
        <f>Input!D218</f>
        <v>0</v>
      </c>
      <c r="D90" s="310">
        <f>Input!E218</f>
        <v>680566311</v>
      </c>
      <c r="E90" s="310">
        <f>Input!F218</f>
        <v>1223404327</v>
      </c>
      <c r="F90" s="310">
        <f>Input!G218</f>
        <v>1534058786</v>
      </c>
      <c r="G90" s="310">
        <f>Input!H218</f>
        <v>1094474341.0526028</v>
      </c>
      <c r="H90" s="310">
        <f>Input!I218</f>
        <v>1198134589.2578633</v>
      </c>
      <c r="I90" s="311">
        <f>Input!J218</f>
        <v>1384771562.1035013</v>
      </c>
    </row>
    <row r="91" spans="1:9" x14ac:dyDescent="0.25">
      <c r="A91" s="581">
        <v>19</v>
      </c>
      <c r="B91" s="315" t="s">
        <v>155</v>
      </c>
      <c r="C91" s="316">
        <f>+Input!D193+Input!D191+Input!D223+Input!D221</f>
        <v>0</v>
      </c>
      <c r="D91" s="316">
        <f>+Input!E193+Input!E191+Input!E223+Input!E221+Input!E195+Input!E197+Input!E199+Input!E225</f>
        <v>33621641</v>
      </c>
      <c r="E91" s="316">
        <f>+Input!F193+Input!F191+Input!F223+Input!F221+Input!F195+Input!F197+Input!F199+Input!F225</f>
        <v>20766735</v>
      </c>
      <c r="F91" s="316">
        <f>+Input!G193+Input!G191+Input!G223+Input!G221+Input!G195+Input!G197+Input!G199+Input!G225</f>
        <v>100385688</v>
      </c>
      <c r="G91" s="316">
        <f>+Input!H193+Input!H191+Input!H223+Input!H221+Input!H195+Input!H197+Input!H199+Input!H225</f>
        <v>199400400</v>
      </c>
      <c r="H91" s="316">
        <f>+Input!I193+Input!I191+Input!I223+Input!I221+Input!I195+Input!I197+Input!I199+Input!I225</f>
        <v>159520320</v>
      </c>
      <c r="I91" s="316">
        <f>+Input!J193+Input!J191+Input!J223+Input!J221+Input!J195+Input!J197+Input!J199+Input!J225</f>
        <v>136460852</v>
      </c>
    </row>
    <row r="92" spans="1:9" x14ac:dyDescent="0.25">
      <c r="A92" s="582">
        <v>20</v>
      </c>
      <c r="B92" s="308" t="s">
        <v>149</v>
      </c>
      <c r="C92" s="310"/>
      <c r="D92" s="310"/>
      <c r="E92" s="310"/>
      <c r="F92" s="310">
        <v>0</v>
      </c>
      <c r="G92" s="310">
        <v>0</v>
      </c>
      <c r="H92" s="310">
        <v>0</v>
      </c>
      <c r="I92" s="311">
        <v>0</v>
      </c>
    </row>
    <row r="93" spans="1:9" x14ac:dyDescent="0.25">
      <c r="A93" s="581">
        <v>21</v>
      </c>
      <c r="B93" s="315" t="s">
        <v>67</v>
      </c>
      <c r="C93" s="316">
        <f>Input!D175</f>
        <v>0</v>
      </c>
      <c r="D93" s="316">
        <f>Input!E175</f>
        <v>0</v>
      </c>
      <c r="E93" s="316">
        <f>Input!F175</f>
        <v>0</v>
      </c>
      <c r="F93" s="316">
        <f>Input!G175</f>
        <v>0</v>
      </c>
      <c r="G93" s="316">
        <f>Input!H175</f>
        <v>0</v>
      </c>
      <c r="H93" s="316">
        <f>Input!I175</f>
        <v>0</v>
      </c>
      <c r="I93" s="317">
        <f>Input!J175</f>
        <v>0</v>
      </c>
    </row>
    <row r="94" spans="1:9" x14ac:dyDescent="0.25">
      <c r="A94" s="582">
        <f t="shared" si="43"/>
        <v>22</v>
      </c>
      <c r="B94" s="308" t="s">
        <v>93</v>
      </c>
      <c r="C94" s="310">
        <f>Input!D245</f>
        <v>0</v>
      </c>
      <c r="D94" s="310">
        <f>Input!E245</f>
        <v>0</v>
      </c>
      <c r="E94" s="310">
        <f>Input!F245</f>
        <v>0</v>
      </c>
      <c r="F94" s="310">
        <f>Input!G245</f>
        <v>0</v>
      </c>
      <c r="G94" s="310">
        <f>Input!H245</f>
        <v>0</v>
      </c>
      <c r="H94" s="310">
        <f>Input!I245</f>
        <v>0</v>
      </c>
      <c r="I94" s="311">
        <f>Input!J245</f>
        <v>0</v>
      </c>
    </row>
    <row r="95" spans="1:9" x14ac:dyDescent="0.25">
      <c r="A95" s="581">
        <f t="shared" si="43"/>
        <v>23</v>
      </c>
      <c r="B95" s="315" t="s">
        <v>393</v>
      </c>
      <c r="C95" s="316">
        <f>Input!D274-Input!D175</f>
        <v>195548111</v>
      </c>
      <c r="D95" s="316">
        <f>Input!E274-Input!E175</f>
        <v>730009599</v>
      </c>
      <c r="E95" s="316">
        <f>Input!F274-Input!F175</f>
        <v>816322853</v>
      </c>
      <c r="F95" s="316">
        <f>Input!G274-Input!G175</f>
        <v>818051844</v>
      </c>
      <c r="G95" s="316">
        <f>Input!H274-Input!H175</f>
        <v>1294100496.7133336</v>
      </c>
      <c r="H95" s="316">
        <f>Input!I274-Input!I175</f>
        <v>1529261516.9547088</v>
      </c>
      <c r="I95" s="317">
        <f>Input!J274-Input!J175</f>
        <v>1825528536.7177901</v>
      </c>
    </row>
    <row r="96" spans="1:9" x14ac:dyDescent="0.25">
      <c r="A96" s="582">
        <f t="shared" si="43"/>
        <v>24</v>
      </c>
      <c r="B96" s="308" t="s">
        <v>194</v>
      </c>
      <c r="C96" s="310">
        <f>C95+C94+C92</f>
        <v>195548111</v>
      </c>
      <c r="D96" s="310">
        <f>D95+D94+D92</f>
        <v>730009599</v>
      </c>
      <c r="E96" s="310">
        <f>E95+E94+E92</f>
        <v>816322853</v>
      </c>
      <c r="F96" s="310">
        <f>F95+F94+F92</f>
        <v>818051844</v>
      </c>
      <c r="G96" s="310"/>
      <c r="H96" s="310"/>
      <c r="I96" s="311"/>
    </row>
    <row r="97" spans="1:9" x14ac:dyDescent="0.25">
      <c r="A97" s="581">
        <f t="shared" si="43"/>
        <v>25</v>
      </c>
      <c r="B97" s="315" t="s">
        <v>195</v>
      </c>
      <c r="C97" s="316">
        <f>-Input!D309</f>
        <v>0</v>
      </c>
      <c r="D97" s="316">
        <f>-Input!E309</f>
        <v>-513691118</v>
      </c>
      <c r="E97" s="316">
        <f>-Input!F309</f>
        <v>-715642034</v>
      </c>
      <c r="F97" s="316">
        <f>-Input!G309</f>
        <v>-375964850</v>
      </c>
      <c r="G97" s="316">
        <f>Input!H309</f>
        <v>-170775911.85136974</v>
      </c>
      <c r="H97" s="316">
        <f>Input!I309</f>
        <v>334914076.40648496</v>
      </c>
      <c r="I97" s="317">
        <f>Input!J309</f>
        <v>382346720.95633632</v>
      </c>
    </row>
    <row r="98" spans="1:9" x14ac:dyDescent="0.25">
      <c r="A98" s="582">
        <f t="shared" si="43"/>
        <v>26</v>
      </c>
      <c r="B98" s="308" t="s">
        <v>196</v>
      </c>
      <c r="C98" s="310">
        <f>-Input!D317</f>
        <v>0</v>
      </c>
      <c r="D98" s="310">
        <f>-Input!E317</f>
        <v>176394975</v>
      </c>
      <c r="E98" s="310">
        <f>-Input!F317</f>
        <v>193638668</v>
      </c>
      <c r="F98" s="310">
        <f>-Input!G317</f>
        <v>281646005</v>
      </c>
      <c r="G98" s="310">
        <f>-Input!H317</f>
        <v>33497066</v>
      </c>
      <c r="H98" s="310">
        <f>-Input!I317</f>
        <v>115481552.59999999</v>
      </c>
      <c r="I98" s="311">
        <f>-Input!J317</f>
        <v>55433311.200000003</v>
      </c>
    </row>
    <row r="99" spans="1:9" x14ac:dyDescent="0.25">
      <c r="A99" s="581">
        <f t="shared" si="43"/>
        <v>27</v>
      </c>
      <c r="B99" s="315" t="s">
        <v>197</v>
      </c>
      <c r="C99" s="316">
        <f>C95+C91-C94</f>
        <v>195548111</v>
      </c>
      <c r="D99" s="316">
        <f t="shared" ref="D99:I99" si="44">D95+D91-D94</f>
        <v>763631240</v>
      </c>
      <c r="E99" s="316">
        <f t="shared" si="44"/>
        <v>837089588</v>
      </c>
      <c r="F99" s="316">
        <f t="shared" si="44"/>
        <v>918437532</v>
      </c>
      <c r="G99" s="316">
        <f t="shared" si="44"/>
        <v>1493500896.7133336</v>
      </c>
      <c r="H99" s="316">
        <f t="shared" si="44"/>
        <v>1688781836.9547088</v>
      </c>
      <c r="I99" s="317">
        <f t="shared" si="44"/>
        <v>1961989388.7177901</v>
      </c>
    </row>
    <row r="100" spans="1:9" x14ac:dyDescent="0.25">
      <c r="A100" s="582">
        <v>28</v>
      </c>
      <c r="B100" s="308" t="s">
        <v>360</v>
      </c>
      <c r="C100" s="310">
        <f>Input!D70</f>
        <v>0</v>
      </c>
      <c r="D100" s="310">
        <f>Input!E70</f>
        <v>199915112</v>
      </c>
      <c r="E100" s="310">
        <f>Input!F70</f>
        <v>266236855</v>
      </c>
      <c r="F100" s="310">
        <f>Input!G70</f>
        <v>241342160</v>
      </c>
      <c r="G100" s="310">
        <f>Input!H70</f>
        <v>273413936.81333351</v>
      </c>
      <c r="H100" s="310">
        <f>Input!I70</f>
        <v>290024851.24137527</v>
      </c>
      <c r="I100" s="311">
        <f>Input!J70</f>
        <v>296267019.76308143</v>
      </c>
    </row>
    <row r="101" spans="1:9" x14ac:dyDescent="0.25">
      <c r="A101" s="581">
        <v>29</v>
      </c>
      <c r="B101" s="315" t="s">
        <v>361</v>
      </c>
      <c r="C101" s="316">
        <f>Input!D181</f>
        <v>0</v>
      </c>
      <c r="D101" s="316">
        <f>Input!E181</f>
        <v>1487944672</v>
      </c>
      <c r="E101" s="316">
        <f>Input!F181</f>
        <v>2153065499</v>
      </c>
      <c r="F101" s="316">
        <f>Input!G181</f>
        <v>2450972018</v>
      </c>
      <c r="G101" s="316">
        <f>Input!H181</f>
        <v>2596068341.9339724</v>
      </c>
      <c r="H101" s="316">
        <f>Input!I181</f>
        <v>2895009530.1566234</v>
      </c>
      <c r="I101" s="317">
        <f>Input!J181</f>
        <v>3338033442.9696317</v>
      </c>
    </row>
    <row r="102" spans="1:9" x14ac:dyDescent="0.25">
      <c r="A102" s="582">
        <v>30</v>
      </c>
      <c r="B102" s="308" t="s">
        <v>362</v>
      </c>
      <c r="C102" s="310">
        <f>Input!D274+Input!D245</f>
        <v>195548111</v>
      </c>
      <c r="D102" s="310">
        <f>Input!E274+Input!E245</f>
        <v>730009599</v>
      </c>
      <c r="E102" s="310">
        <f>Input!F274+Input!F245</f>
        <v>816322853</v>
      </c>
      <c r="F102" s="310">
        <f>Input!G274+Input!G245</f>
        <v>818051844</v>
      </c>
      <c r="G102" s="310">
        <f>Input!H274+Input!H245</f>
        <v>1294100496.7133336</v>
      </c>
      <c r="H102" s="310">
        <f>Input!I274+Input!I245</f>
        <v>1529261516.9547088</v>
      </c>
      <c r="I102" s="311">
        <f>Input!J274+Input!J245</f>
        <v>1825528536.7177901</v>
      </c>
    </row>
    <row r="103" spans="1:9" x14ac:dyDescent="0.25">
      <c r="A103" s="581">
        <v>31</v>
      </c>
      <c r="B103" s="315" t="s">
        <v>394</v>
      </c>
      <c r="C103" s="316">
        <f>Input!D154</f>
        <v>0</v>
      </c>
      <c r="D103" s="316">
        <f>Input!E154</f>
        <v>583481233</v>
      </c>
      <c r="E103" s="316">
        <f>Input!F154</f>
        <v>586292135</v>
      </c>
      <c r="F103" s="316">
        <f>Input!G154</f>
        <v>575070082</v>
      </c>
      <c r="G103" s="316">
        <f>Input!H154</f>
        <v>705814880.54999995</v>
      </c>
      <c r="H103" s="316">
        <f>Input!I154</f>
        <v>867953256.12249994</v>
      </c>
      <c r="I103" s="317">
        <f>Input!J154</f>
        <v>1068851440.8886251</v>
      </c>
    </row>
    <row r="104" spans="1:9" x14ac:dyDescent="0.25">
      <c r="A104" s="582">
        <v>32</v>
      </c>
      <c r="B104" s="308" t="s">
        <v>345</v>
      </c>
      <c r="C104" s="310">
        <f>Input!D105+Input!D129+Input!D133-Input!D201-Input!D203-Input!D205</f>
        <v>0</v>
      </c>
      <c r="D104" s="310">
        <f>Input!E105+Input!E129+Input!E133-Input!E201-Input!E203-Input!E205</f>
        <v>-82944742</v>
      </c>
      <c r="E104" s="310">
        <f>Input!F105+Input!F129+Input!F133-Input!F201-Input!F203-Input!F205</f>
        <v>-50666471</v>
      </c>
      <c r="F104" s="310">
        <f>Input!G105+Input!G129+Input!G133-Input!G201-Input!G203-Input!G205</f>
        <v>-67938393</v>
      </c>
      <c r="G104" s="310">
        <f>Input!H105+Input!H129+Input!H133-Input!H201-Input!H203-Input!H205</f>
        <v>-3742121.1157534197</v>
      </c>
      <c r="H104" s="310">
        <f>Input!I105+Input!I129+Input!I133-Input!I201-Input!I203-Input!I205</f>
        <v>234917.96463016421</v>
      </c>
      <c r="I104" s="311">
        <f>Input!J105+Input!J129+Input!J133-Input!J201-Input!J203-Input!J205</f>
        <v>22875434.939153448</v>
      </c>
    </row>
    <row r="105" spans="1:9" x14ac:dyDescent="0.25">
      <c r="A105" s="581">
        <v>33</v>
      </c>
      <c r="B105" s="315" t="s">
        <v>363</v>
      </c>
      <c r="C105" s="316">
        <f>-Input!D33</f>
        <v>0</v>
      </c>
      <c r="D105" s="316">
        <f>-Input!E33</f>
        <v>61541642</v>
      </c>
      <c r="E105" s="316">
        <f>-Input!F33</f>
        <v>78898262</v>
      </c>
      <c r="F105" s="316">
        <f>-Input!G33</f>
        <v>103309159</v>
      </c>
      <c r="G105" s="316">
        <f>-Input!H33</f>
        <v>139467364.65000001</v>
      </c>
      <c r="H105" s="316">
        <f>-Input!I33</f>
        <v>167360837.58000001</v>
      </c>
      <c r="I105" s="317">
        <f>-Input!J33</f>
        <v>200833005.09600002</v>
      </c>
    </row>
    <row r="106" spans="1:9" x14ac:dyDescent="0.25">
      <c r="A106" s="582">
        <v>34</v>
      </c>
      <c r="B106" s="308" t="s">
        <v>385</v>
      </c>
      <c r="C106" s="310">
        <f>Input!D293</f>
        <v>0</v>
      </c>
      <c r="D106" s="310">
        <f>Input!E293</f>
        <v>211070362</v>
      </c>
      <c r="E106" s="310">
        <f>Input!F293</f>
        <v>295275745</v>
      </c>
      <c r="F106" s="310">
        <f>Input!G293</f>
        <v>178002825</v>
      </c>
      <c r="G106" s="310">
        <f>Input!H293</f>
        <v>166212831.48000014</v>
      </c>
      <c r="H106" s="310">
        <f>Input!I293</f>
        <v>299359128.8913753</v>
      </c>
      <c r="I106" s="311">
        <f>Input!J293</f>
        <v>316012018.56558144</v>
      </c>
    </row>
    <row r="107" spans="1:9" x14ac:dyDescent="0.25">
      <c r="A107" s="581">
        <v>35</v>
      </c>
      <c r="B107" s="315" t="s">
        <v>403</v>
      </c>
      <c r="C107" s="316">
        <f>Input!D154</f>
        <v>0</v>
      </c>
      <c r="D107" s="316">
        <f>Input!E154</f>
        <v>583481233</v>
      </c>
      <c r="E107" s="316">
        <f>Input!F154</f>
        <v>586292135</v>
      </c>
      <c r="F107" s="316">
        <f>Input!G154</f>
        <v>575070082</v>
      </c>
      <c r="G107" s="316">
        <f>Input!H154</f>
        <v>705814880.54999995</v>
      </c>
      <c r="H107" s="316">
        <f>Input!I154</f>
        <v>867953256.12249994</v>
      </c>
      <c r="I107" s="317">
        <f>Input!J154</f>
        <v>1068851440.8886251</v>
      </c>
    </row>
    <row r="108" spans="1:9" x14ac:dyDescent="0.25">
      <c r="A108" s="582">
        <v>36</v>
      </c>
      <c r="B108" s="308" t="s">
        <v>422</v>
      </c>
      <c r="C108" s="310">
        <f>C89-C91</f>
        <v>0</v>
      </c>
      <c r="D108" s="310">
        <f t="shared" ref="D108:I108" si="45">D89-D91</f>
        <v>724313432</v>
      </c>
      <c r="E108" s="310">
        <f t="shared" si="45"/>
        <v>1315975911</v>
      </c>
      <c r="F108" s="310">
        <f t="shared" si="45"/>
        <v>1532534486</v>
      </c>
      <c r="G108" s="310">
        <f t="shared" si="45"/>
        <v>1102567445.0526028</v>
      </c>
      <c r="H108" s="310">
        <f t="shared" si="45"/>
        <v>1206227693.2578633</v>
      </c>
      <c r="I108" s="311">
        <f t="shared" si="45"/>
        <v>1376044054.1035013</v>
      </c>
    </row>
    <row r="109" spans="1:9" x14ac:dyDescent="0.25">
      <c r="A109" s="581">
        <v>37</v>
      </c>
      <c r="B109" s="315" t="s">
        <v>1808</v>
      </c>
      <c r="C109" s="612"/>
      <c r="D109" s="612">
        <f>'Client Input'!B102</f>
        <v>393000</v>
      </c>
      <c r="E109" s="612">
        <f>'Client Input'!C102</f>
        <v>393000</v>
      </c>
      <c r="F109" s="612">
        <f>'Client Input'!D102</f>
        <v>393000</v>
      </c>
      <c r="G109" s="612">
        <f>'Client Input'!E102</f>
        <v>595634.71589999995</v>
      </c>
      <c r="H109" s="612">
        <f>'Client Input'!F102</f>
        <v>595634.71589999995</v>
      </c>
      <c r="I109" s="612">
        <f>'Client Input'!G102</f>
        <v>595634.71589999995</v>
      </c>
    </row>
    <row r="110" spans="1:9" x14ac:dyDescent="0.25">
      <c r="A110" s="582">
        <v>38</v>
      </c>
      <c r="B110" s="308" t="s">
        <v>404</v>
      </c>
      <c r="C110" s="310">
        <f>C91-Input!D98-Input!D100-Input!D102</f>
        <v>0</v>
      </c>
      <c r="D110" s="310">
        <f>D91-Input!E98-Input!E100-Input!E102</f>
        <v>-515364985</v>
      </c>
      <c r="E110" s="310">
        <f>E91-Input!F98-Input!F100-Input!F102</f>
        <v>-1125164047</v>
      </c>
      <c r="F110" s="310">
        <f>F91-Input!G98-Input!G100-Input!G102</f>
        <v>-1286828362</v>
      </c>
      <c r="G110" s="310">
        <f>G91-Input!H98-Input!H100-Input!H102</f>
        <v>-1187813650</v>
      </c>
      <c r="H110" s="310">
        <f>H91-Input!I98-Input!I100-Input!I102</f>
        <v>-1296391241.96</v>
      </c>
      <c r="I110" s="311">
        <f>I91-Input!J98-Input!J100-Input!J102</f>
        <v>-1458094779.552</v>
      </c>
    </row>
    <row r="111" spans="1:9" ht="13.8" thickBot="1" x14ac:dyDescent="0.3">
      <c r="A111" s="583">
        <v>39</v>
      </c>
      <c r="B111" s="318" t="s">
        <v>1809</v>
      </c>
      <c r="C111" s="584"/>
      <c r="D111" s="584">
        <f>'Client Input'!B103</f>
        <v>10</v>
      </c>
      <c r="E111" s="584">
        <f>'Client Input'!C103</f>
        <v>11</v>
      </c>
      <c r="F111" s="584">
        <f>'Client Input'!D103</f>
        <v>12</v>
      </c>
      <c r="G111" s="584">
        <f>'Client Input'!E103</f>
        <v>13</v>
      </c>
      <c r="H111" s="584">
        <f>'Client Input'!F103</f>
        <v>14</v>
      </c>
      <c r="I111" s="584">
        <f>'Client Input'!G103</f>
        <v>15</v>
      </c>
    </row>
    <row r="114" spans="2:2" ht="13.8" thickBot="1" x14ac:dyDescent="0.3"/>
    <row r="115" spans="2:2" ht="20.25" customHeight="1" thickBot="1" x14ac:dyDescent="0.3">
      <c r="B115" s="419" t="s">
        <v>423</v>
      </c>
    </row>
    <row r="116" spans="2:2" x14ac:dyDescent="0.25">
      <c r="B116" s="341">
        <v>2011</v>
      </c>
    </row>
    <row r="117" spans="2:2" x14ac:dyDescent="0.25">
      <c r="B117" s="342">
        <v>2012</v>
      </c>
    </row>
    <row r="118" spans="2:2" x14ac:dyDescent="0.25">
      <c r="B118" s="343">
        <v>2013</v>
      </c>
    </row>
    <row r="119" spans="2:2" x14ac:dyDescent="0.25">
      <c r="B119" s="342">
        <v>2014</v>
      </c>
    </row>
    <row r="120" spans="2:2" x14ac:dyDescent="0.25">
      <c r="B120" s="343">
        <v>2015</v>
      </c>
    </row>
    <row r="121" spans="2:2" x14ac:dyDescent="0.25">
      <c r="B121" s="342">
        <v>2016</v>
      </c>
    </row>
    <row r="122" spans="2:2" x14ac:dyDescent="0.25">
      <c r="B122" s="343" t="s">
        <v>2951</v>
      </c>
    </row>
    <row r="123" spans="2:2" ht="13.8" thickBot="1" x14ac:dyDescent="0.3">
      <c r="B123" s="342" t="s">
        <v>1796</v>
      </c>
    </row>
    <row r="124" spans="2:2" x14ac:dyDescent="0.25">
      <c r="B124" s="571"/>
    </row>
  </sheetData>
  <mergeCells count="2">
    <mergeCell ref="A71:I71"/>
    <mergeCell ref="A1:I2"/>
  </mergeCells>
  <conditionalFormatting sqref="C7:I7">
    <cfRule type="colorScale" priority="58">
      <colorScale>
        <cfvo type="min"/>
        <cfvo type="max"/>
        <color rgb="FF63BE7B"/>
        <color rgb="FFFCFCFF"/>
      </colorScale>
    </cfRule>
  </conditionalFormatting>
  <conditionalFormatting sqref="C8:I8">
    <cfRule type="colorScale" priority="59">
      <colorScale>
        <cfvo type="min"/>
        <cfvo type="max"/>
        <color rgb="FFFCFCFF"/>
        <color rgb="FF63BE7B"/>
      </colorScale>
    </cfRule>
  </conditionalFormatting>
  <conditionalFormatting sqref="C9:I9">
    <cfRule type="colorScale" priority="60">
      <colorScale>
        <cfvo type="min"/>
        <cfvo type="max"/>
        <color rgb="FFFCFCFF"/>
        <color rgb="FF63BE7B"/>
      </colorScale>
    </cfRule>
  </conditionalFormatting>
  <conditionalFormatting sqref="C10:I10">
    <cfRule type="colorScale" priority="61">
      <colorScale>
        <cfvo type="min"/>
        <cfvo type="max"/>
        <color rgb="FFFCFCFF"/>
        <color rgb="FF63BE7B"/>
      </colorScale>
    </cfRule>
  </conditionalFormatting>
  <conditionalFormatting sqref="C11:I11">
    <cfRule type="colorScale" priority="62">
      <colorScale>
        <cfvo type="min"/>
        <cfvo type="max"/>
        <color rgb="FFFCFCFF"/>
        <color rgb="FF63BE7B"/>
      </colorScale>
    </cfRule>
  </conditionalFormatting>
  <conditionalFormatting sqref="C12:I12">
    <cfRule type="colorScale" priority="63">
      <colorScale>
        <cfvo type="min"/>
        <cfvo type="max"/>
        <color rgb="FFFCFCFF"/>
        <color rgb="FF63BE7B"/>
      </colorScale>
    </cfRule>
  </conditionalFormatting>
  <conditionalFormatting sqref="C23:I23">
    <cfRule type="colorScale" priority="64">
      <colorScale>
        <cfvo type="min"/>
        <cfvo type="max"/>
        <color rgb="FFFCFCFF"/>
        <color rgb="FF63BE7B"/>
      </colorScale>
    </cfRule>
  </conditionalFormatting>
  <conditionalFormatting sqref="C24:I24">
    <cfRule type="colorScale" priority="65">
      <colorScale>
        <cfvo type="min"/>
        <cfvo type="max"/>
        <color rgb="FFFCFCFF"/>
        <color rgb="FF63BE7B"/>
      </colorScale>
    </cfRule>
  </conditionalFormatting>
  <conditionalFormatting sqref="C25:I25">
    <cfRule type="colorScale" priority="66">
      <colorScale>
        <cfvo type="min"/>
        <cfvo type="max"/>
        <color rgb="FFFCFCFF"/>
        <color rgb="FF63BE7B"/>
      </colorScale>
    </cfRule>
  </conditionalFormatting>
  <conditionalFormatting sqref="C26:I26">
    <cfRule type="colorScale" priority="67">
      <colorScale>
        <cfvo type="min"/>
        <cfvo type="max"/>
        <color rgb="FFFCFCFF"/>
        <color rgb="FF63BE7B"/>
      </colorScale>
    </cfRule>
  </conditionalFormatting>
  <conditionalFormatting sqref="C28:I28">
    <cfRule type="colorScale" priority="68">
      <colorScale>
        <cfvo type="min"/>
        <cfvo type="max"/>
        <color rgb="FFFCFCFF"/>
        <color rgb="FF63BE7B"/>
      </colorScale>
    </cfRule>
  </conditionalFormatting>
  <conditionalFormatting sqref="C29:I29">
    <cfRule type="colorScale" priority="69">
      <colorScale>
        <cfvo type="min"/>
        <cfvo type="max"/>
        <color rgb="FFFCFCFF"/>
        <color rgb="FF63BE7B"/>
      </colorScale>
    </cfRule>
  </conditionalFormatting>
  <conditionalFormatting sqref="C30:I30">
    <cfRule type="colorScale" priority="70">
      <colorScale>
        <cfvo type="min"/>
        <cfvo type="max"/>
        <color rgb="FFFCFCFF"/>
        <color rgb="FF63BE7B"/>
      </colorScale>
    </cfRule>
  </conditionalFormatting>
  <conditionalFormatting sqref="C31:I31">
    <cfRule type="colorScale" priority="71">
      <colorScale>
        <cfvo type="min"/>
        <cfvo type="max"/>
        <color rgb="FFFCFCFF"/>
        <color rgb="FF63BE7B"/>
      </colorScale>
    </cfRule>
  </conditionalFormatting>
  <conditionalFormatting sqref="C33:I33">
    <cfRule type="colorScale" priority="72">
      <colorScale>
        <cfvo type="min"/>
        <cfvo type="max"/>
        <color rgb="FFFCFCFF"/>
        <color rgb="FF63BE7B"/>
      </colorScale>
    </cfRule>
  </conditionalFormatting>
  <conditionalFormatting sqref="C32:I32">
    <cfRule type="colorScale" priority="73">
      <colorScale>
        <cfvo type="min"/>
        <cfvo type="max"/>
        <color rgb="FFFCFCFF"/>
        <color rgb="FF63BE7B"/>
      </colorScale>
    </cfRule>
  </conditionalFormatting>
  <conditionalFormatting sqref="C34:I34">
    <cfRule type="colorScale" priority="74">
      <colorScale>
        <cfvo type="min"/>
        <cfvo type="max"/>
        <color rgb="FFFCFCFF"/>
        <color rgb="FF63BE7B"/>
      </colorScale>
    </cfRule>
  </conditionalFormatting>
  <conditionalFormatting sqref="C40:I40">
    <cfRule type="colorScale" priority="76">
      <colorScale>
        <cfvo type="min"/>
        <cfvo type="max"/>
        <color rgb="FFFCFCFF"/>
        <color rgb="FF63BE7B"/>
      </colorScale>
    </cfRule>
  </conditionalFormatting>
  <conditionalFormatting sqref="C41:I41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2:I42">
    <cfRule type="colorScale" priority="78">
      <colorScale>
        <cfvo type="min"/>
        <cfvo type="max"/>
        <color rgb="FFFCFCFF"/>
        <color rgb="FF63BE7B"/>
      </colorScale>
    </cfRule>
  </conditionalFormatting>
  <conditionalFormatting sqref="C43:I43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4:I44">
    <cfRule type="colorScale" priority="80">
      <colorScale>
        <cfvo type="min"/>
        <cfvo type="max"/>
        <color rgb="FFFCFCFF"/>
        <color rgb="FF63BE7B"/>
      </colorScale>
    </cfRule>
  </conditionalFormatting>
  <conditionalFormatting sqref="C46:I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C47:I47">
    <cfRule type="colorScale" priority="82">
      <colorScale>
        <cfvo type="min"/>
        <cfvo type="max"/>
        <color rgb="FFFCFCFF"/>
        <color rgb="FF63BE7B"/>
      </colorScale>
    </cfRule>
  </conditionalFormatting>
  <conditionalFormatting sqref="C48:I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C49:I49">
    <cfRule type="colorScale" priority="84">
      <colorScale>
        <cfvo type="min"/>
        <cfvo type="max"/>
        <color rgb="FFFCFCFF"/>
        <color rgb="FF63BE7B"/>
      </colorScale>
    </cfRule>
  </conditionalFormatting>
  <conditionalFormatting sqref="C50:I50">
    <cfRule type="colorScale" priority="85">
      <colorScale>
        <cfvo type="min"/>
        <cfvo type="max"/>
        <color rgb="FFFCFCFF"/>
        <color rgb="FF63BE7B"/>
      </colorScale>
    </cfRule>
  </conditionalFormatting>
  <conditionalFormatting sqref="C51:I51">
    <cfRule type="colorScale" priority="86">
      <colorScale>
        <cfvo type="min"/>
        <cfvo type="max"/>
        <color rgb="FFFCFCFF"/>
        <color rgb="FF63BE7B"/>
      </colorScale>
    </cfRule>
  </conditionalFormatting>
  <conditionalFormatting sqref="C52:I52">
    <cfRule type="colorScale" priority="87">
      <colorScale>
        <cfvo type="min"/>
        <cfvo type="max"/>
        <color rgb="FFFCFCFF"/>
        <color rgb="FF63BE7B"/>
      </colorScale>
    </cfRule>
  </conditionalFormatting>
  <conditionalFormatting sqref="C53:I53">
    <cfRule type="colorScale" priority="88">
      <colorScale>
        <cfvo type="min"/>
        <cfvo type="max"/>
        <color rgb="FFFCFCFF"/>
        <color rgb="FF63BE7B"/>
      </colorScale>
    </cfRule>
  </conditionalFormatting>
  <conditionalFormatting sqref="C54:I54">
    <cfRule type="colorScale" priority="89">
      <colorScale>
        <cfvo type="min"/>
        <cfvo type="max"/>
        <color rgb="FFFCFCFF"/>
        <color rgb="FF63BE7B"/>
      </colorScale>
    </cfRule>
  </conditionalFormatting>
  <conditionalFormatting sqref="C56:I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C57:I57">
    <cfRule type="colorScale" priority="91">
      <colorScale>
        <cfvo type="min"/>
        <cfvo type="max"/>
        <color rgb="FFFCFCFF"/>
        <color rgb="FF63BE7B"/>
      </colorScale>
    </cfRule>
  </conditionalFormatting>
  <conditionalFormatting sqref="C58:I58">
    <cfRule type="colorScale" priority="92">
      <colorScale>
        <cfvo type="min"/>
        <cfvo type="max"/>
        <color rgb="FFFCFCFF"/>
        <color rgb="FF63BE7B"/>
      </colorScale>
    </cfRule>
  </conditionalFormatting>
  <conditionalFormatting sqref="C59:I59">
    <cfRule type="colorScale" priority="93">
      <colorScale>
        <cfvo type="min"/>
        <cfvo type="max"/>
        <color rgb="FFFCFCFF"/>
        <color rgb="FF63BE7B"/>
      </colorScale>
    </cfRule>
  </conditionalFormatting>
  <conditionalFormatting sqref="C60:I60">
    <cfRule type="colorScale" priority="94">
      <colorScale>
        <cfvo type="min"/>
        <cfvo type="max"/>
        <color rgb="FFFCFCFF"/>
        <color rgb="FF63BE7B"/>
      </colorScale>
    </cfRule>
  </conditionalFormatting>
  <conditionalFormatting sqref="C61:I61">
    <cfRule type="colorScale" priority="95">
      <colorScale>
        <cfvo type="min"/>
        <cfvo type="max"/>
        <color rgb="FFFCFCFF"/>
        <color rgb="FF63BE7B"/>
      </colorScale>
    </cfRule>
  </conditionalFormatting>
  <conditionalFormatting sqref="C13:I14">
    <cfRule type="colorScale" priority="96">
      <colorScale>
        <cfvo type="min"/>
        <cfvo type="max"/>
        <color rgb="FF63BE7B"/>
        <color rgb="FFFCFCFF"/>
      </colorScale>
    </cfRule>
  </conditionalFormatting>
  <conditionalFormatting sqref="C16:I16">
    <cfRule type="colorScale" priority="97">
      <colorScale>
        <cfvo type="min"/>
        <cfvo type="max"/>
        <color rgb="FF63BE7B"/>
        <color rgb="FFFCFCFF"/>
      </colorScale>
    </cfRule>
  </conditionalFormatting>
  <conditionalFormatting sqref="C18:I18">
    <cfRule type="colorScale" priority="98">
      <colorScale>
        <cfvo type="min"/>
        <cfvo type="max"/>
        <color rgb="FF63BE7B"/>
        <color rgb="FFFCFCFF"/>
      </colorScale>
    </cfRule>
  </conditionalFormatting>
  <conditionalFormatting sqref="C21:I21">
    <cfRule type="colorScale" priority="99">
      <colorScale>
        <cfvo type="min"/>
        <cfvo type="max"/>
        <color rgb="FF63BE7B"/>
        <color rgb="FFFCFCFF"/>
      </colorScale>
    </cfRule>
  </conditionalFormatting>
  <conditionalFormatting sqref="C15:I1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C17:I1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19:I20">
    <cfRule type="colorScale" priority="102">
      <colorScale>
        <cfvo type="min"/>
        <cfvo type="max"/>
        <color rgb="FFFCFCFF"/>
        <color rgb="FF63BE7B"/>
      </colorScale>
    </cfRule>
  </conditionalFormatting>
  <conditionalFormatting sqref="C35:I35">
    <cfRule type="colorScale" priority="103">
      <colorScale>
        <cfvo type="min"/>
        <cfvo type="max"/>
        <color rgb="FFFCFCFF"/>
        <color rgb="FF63BE7B"/>
      </colorScale>
    </cfRule>
  </conditionalFormatting>
  <conditionalFormatting sqref="C36:I39">
    <cfRule type="colorScale" priority="3">
      <colorScale>
        <cfvo type="min"/>
        <cfvo type="max"/>
        <color rgb="FFFCFCFF"/>
        <color rgb="FF63BE7B"/>
      </colorScale>
    </cfRule>
  </conditionalFormatting>
  <conditionalFormatting sqref="C67:I67 C69:I69 C63:I63 C65:I65">
    <cfRule type="colorScale" priority="2">
      <colorScale>
        <cfvo type="min"/>
        <cfvo type="max"/>
        <color rgb="FFFCFCFF"/>
        <color rgb="FF63BE7B"/>
      </colorScale>
    </cfRule>
  </conditionalFormatting>
  <conditionalFormatting sqref="C66:I66 C68:I68 C62:I62 D64:I64">
    <cfRule type="colorScale" priority="104">
      <colorScale>
        <cfvo type="min"/>
        <cfvo type="max"/>
        <color rgb="FFFCFCFF"/>
        <color rgb="FF63BE7B"/>
      </colorScale>
    </cfRule>
  </conditionalFormatting>
  <dataValidations disablePrompts="1" count="1">
    <dataValidation allowBlank="1" showErrorMessage="1" sqref="C100:I106" xr:uid="{00000000-0002-0000-0400-000000000000}"/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03"/>
  <sheetViews>
    <sheetView topLeftCell="C1" workbookViewId="0">
      <selection activeCell="D6" sqref="D6"/>
    </sheetView>
  </sheetViews>
  <sheetFormatPr defaultRowHeight="13.2" x14ac:dyDescent="0.25"/>
  <cols>
    <col min="2" max="2" width="41.44140625" bestFit="1" customWidth="1"/>
    <col min="3" max="4" width="26.44140625" bestFit="1" customWidth="1"/>
    <col min="5" max="5" width="12.44140625" bestFit="1" customWidth="1"/>
    <col min="6" max="6" width="12.44140625" customWidth="1"/>
    <col min="7" max="7" width="12.44140625" bestFit="1" customWidth="1"/>
    <col min="8" max="8" width="12.44140625" customWidth="1"/>
    <col min="9" max="9" width="12.44140625" bestFit="1" customWidth="1"/>
    <col min="10" max="10" width="12.44140625" customWidth="1"/>
    <col min="11" max="11" width="12.44140625" bestFit="1" customWidth="1"/>
    <col min="12" max="12" width="12.44140625" customWidth="1"/>
    <col min="13" max="14" width="12.44140625" bestFit="1" customWidth="1"/>
  </cols>
  <sheetData>
    <row r="2" spans="2:14" x14ac:dyDescent="0.25">
      <c r="E2" s="874">
        <f>Input!F18</f>
        <v>2015</v>
      </c>
      <c r="F2" s="874"/>
      <c r="G2" s="874">
        <f>Input!G18</f>
        <v>2016</v>
      </c>
      <c r="H2" s="874"/>
      <c r="I2" s="874">
        <f>Input!H18</f>
        <v>2017</v>
      </c>
      <c r="J2" s="874"/>
      <c r="K2" s="874">
        <f>Input!I18</f>
        <v>2018</v>
      </c>
      <c r="L2" s="874"/>
      <c r="M2" s="874">
        <f>Input!J18</f>
        <v>2019</v>
      </c>
      <c r="N2" s="874"/>
    </row>
    <row r="3" spans="2:14" x14ac:dyDescent="0.25">
      <c r="E3" s="678" t="s">
        <v>3178</v>
      </c>
      <c r="F3" s="678" t="s">
        <v>3179</v>
      </c>
      <c r="G3" s="678" t="s">
        <v>3178</v>
      </c>
      <c r="H3" s="678" t="s">
        <v>3179</v>
      </c>
      <c r="I3" s="678" t="s">
        <v>3178</v>
      </c>
      <c r="J3" s="678" t="s">
        <v>3179</v>
      </c>
      <c r="K3" s="678" t="s">
        <v>3178</v>
      </c>
      <c r="L3" s="678" t="s">
        <v>3179</v>
      </c>
      <c r="M3" s="678" t="s">
        <v>3178</v>
      </c>
      <c r="N3" s="678" t="s">
        <v>3179</v>
      </c>
    </row>
    <row r="4" spans="2:14" x14ac:dyDescent="0.25">
      <c r="B4" t="s">
        <v>113</v>
      </c>
      <c r="D4" t="s">
        <v>3176</v>
      </c>
      <c r="E4" s="327">
        <f>IF(Input!F290&gt;0,Input!F290,0)</f>
        <v>333559107</v>
      </c>
      <c r="F4" s="327">
        <f>IF(Input!F290&lt;0,-Input!F290,0)</f>
        <v>0</v>
      </c>
      <c r="G4" s="327">
        <f>IF(Input!G290&gt;0,Input!G290,0)</f>
        <v>276932285</v>
      </c>
      <c r="H4" s="327">
        <f>IF(Input!G290&lt;0,-Input!G290,0)</f>
        <v>0</v>
      </c>
      <c r="I4" s="327">
        <f>IF(Input!H290&gt;0,Input!H290,0)</f>
        <v>352920894.20000017</v>
      </c>
      <c r="J4" s="327">
        <f>IF(Input!H290&lt;0,-Input!H290,0)</f>
        <v>0</v>
      </c>
      <c r="K4" s="327">
        <f>IF(Input!I290&gt;0,Input!I290,0)</f>
        <v>383559892.15500039</v>
      </c>
      <c r="L4" s="327">
        <f>IF(Input!I290&lt;0,-Input!I290,0)</f>
        <v>0</v>
      </c>
      <c r="M4" s="327">
        <f>IF(Input!J290&gt;0,Input!J290,0)</f>
        <v>402025024.30325025</v>
      </c>
      <c r="N4" s="327">
        <f>IF(Input!J290&lt;0,-Input!J290,0)</f>
        <v>0</v>
      </c>
    </row>
    <row r="5" spans="2:14" x14ac:dyDescent="0.25">
      <c r="B5" t="s">
        <v>114</v>
      </c>
      <c r="C5" t="s">
        <v>115</v>
      </c>
      <c r="D5" t="s">
        <v>3176</v>
      </c>
      <c r="E5" s="327"/>
      <c r="F5" s="327">
        <f>-Input!F291</f>
        <v>38283362</v>
      </c>
      <c r="G5" s="327"/>
      <c r="H5" s="327">
        <f>-Input!G291</f>
        <v>98929460</v>
      </c>
      <c r="I5" s="327"/>
      <c r="J5" s="327">
        <f>-Input!H291</f>
        <v>186708062.72000003</v>
      </c>
      <c r="K5" s="327"/>
      <c r="L5" s="327">
        <f>-Input!I291</f>
        <v>84200763.263625085</v>
      </c>
      <c r="M5" s="327"/>
      <c r="N5" s="327">
        <f>-Input!J291</f>
        <v>86013005.737668827</v>
      </c>
    </row>
    <row r="6" spans="2:14" x14ac:dyDescent="0.25">
      <c r="E6" s="327"/>
      <c r="F6" s="327"/>
      <c r="G6" s="327"/>
      <c r="H6" s="327"/>
      <c r="I6" s="327"/>
      <c r="J6" s="327"/>
      <c r="K6" s="327"/>
      <c r="L6" s="327"/>
      <c r="M6" s="327"/>
      <c r="N6" s="327"/>
    </row>
    <row r="7" spans="2:14" x14ac:dyDescent="0.25">
      <c r="B7" t="s">
        <v>116</v>
      </c>
      <c r="E7" s="327"/>
      <c r="F7" s="327"/>
      <c r="G7" s="327"/>
      <c r="H7" s="327"/>
      <c r="I7" s="327"/>
      <c r="J7" s="327"/>
      <c r="K7" s="327"/>
      <c r="L7" s="327"/>
      <c r="M7" s="327"/>
      <c r="N7" s="327"/>
    </row>
    <row r="8" spans="2:14" x14ac:dyDescent="0.25">
      <c r="B8" t="s">
        <v>117</v>
      </c>
      <c r="C8" t="s">
        <v>43</v>
      </c>
      <c r="D8" t="s">
        <v>3176</v>
      </c>
      <c r="E8" s="327">
        <f>IF(Input!F294&gt;0,Input!F294,0)</f>
        <v>0</v>
      </c>
      <c r="F8" s="327">
        <f>IF(Input!F294&lt;0,-Input!F294,0)</f>
        <v>25469143</v>
      </c>
      <c r="G8" s="327">
        <f>IF(Input!G294&gt;0,Input!G294,0)</f>
        <v>0</v>
      </c>
      <c r="H8" s="327">
        <f>IF(Input!G294&lt;0,-Input!G294,0)</f>
        <v>20134847</v>
      </c>
      <c r="I8" s="327">
        <f>IF(Input!H294&gt;0,Input!H294,0)</f>
        <v>0</v>
      </c>
      <c r="J8" s="327">
        <f>IF(Input!H294&lt;0,-Input!H294,0)</f>
        <v>23638239.339726031</v>
      </c>
      <c r="K8" s="327">
        <f>IF(Input!I294&gt;0,Input!I294,0)</f>
        <v>0</v>
      </c>
      <c r="L8" s="327">
        <f>IF(Input!I294&lt;0,-Input!I294,0)</f>
        <v>10006762.033972621</v>
      </c>
      <c r="M8" s="327">
        <f>IF(Input!J294&gt;0,Input!J294,0)</f>
        <v>0</v>
      </c>
      <c r="N8" s="327">
        <f>IF(Input!J294&lt;0,-Input!J294,0)</f>
        <v>26748074.916808754</v>
      </c>
    </row>
    <row r="9" spans="2:14" x14ac:dyDescent="0.25">
      <c r="B9" t="s">
        <v>117</v>
      </c>
      <c r="C9" t="s">
        <v>48</v>
      </c>
      <c r="D9" t="s">
        <v>3176</v>
      </c>
      <c r="E9" s="327">
        <f>IF(Input!F295&gt;0,Input!F295,0)</f>
        <v>0</v>
      </c>
      <c r="F9" s="327">
        <f>IF(Input!F295&lt;0,-Input!F295,0)</f>
        <v>51278464</v>
      </c>
      <c r="G9" s="327">
        <f>IF(Input!G295&gt;0,Input!G295,0)</f>
        <v>0</v>
      </c>
      <c r="H9" s="327">
        <f>IF(Input!G295&lt;0,-Input!G295,0)</f>
        <v>4581693</v>
      </c>
      <c r="I9" s="327">
        <f>IF(Input!H295&gt;0,Input!H295,0)</f>
        <v>0</v>
      </c>
      <c r="J9" s="327">
        <f>IF(Input!H295&lt;0,-Input!H295,0)</f>
        <v>22439291.338904142</v>
      </c>
      <c r="K9" s="327">
        <f>IF(Input!I295&gt;0,Input!I295,0)</f>
        <v>0</v>
      </c>
      <c r="L9" s="327">
        <f>IF(Input!I295&lt;0,-Input!I295,0)</f>
        <v>52560582.593684971</v>
      </c>
      <c r="M9" s="327">
        <f>IF(Input!J295&gt;0,Input!J295,0)</f>
        <v>0</v>
      </c>
      <c r="N9" s="327">
        <f>IF(Input!J295&lt;0,-Input!J295,0)</f>
        <v>64114955.081393778</v>
      </c>
    </row>
    <row r="10" spans="2:14" x14ac:dyDescent="0.25">
      <c r="B10" t="s">
        <v>117</v>
      </c>
      <c r="C10" t="s">
        <v>49</v>
      </c>
      <c r="D10" t="s">
        <v>3176</v>
      </c>
      <c r="E10" s="327">
        <f>IF(Input!F296&gt;0,Input!F296,0)</f>
        <v>9514554</v>
      </c>
      <c r="F10" s="327">
        <f>IF(Input!F296&lt;0,-Input!F296,0)</f>
        <v>0</v>
      </c>
      <c r="G10" s="327">
        <f>IF(Input!G296&gt;0,Input!G296,0)</f>
        <v>1821485</v>
      </c>
      <c r="H10" s="327">
        <f>IF(Input!G296&lt;0,-Input!G296,0)</f>
        <v>0</v>
      </c>
      <c r="I10" s="327">
        <f>IF(Input!H296&gt;0,Input!H296,0)</f>
        <v>0</v>
      </c>
      <c r="J10" s="327">
        <f>IF(Input!H296&lt;0,-Input!H296,0)</f>
        <v>3513288.705342466</v>
      </c>
      <c r="K10" s="327">
        <f>IF(Input!I296&gt;0,Input!I296,0)</f>
        <v>0</v>
      </c>
      <c r="L10" s="327">
        <f>IF(Input!I296&lt;0,-Input!I296,0)</f>
        <v>5537956.0624931548</v>
      </c>
      <c r="M10" s="327">
        <f>IF(Input!J296&gt;0,Input!J296,0)</f>
        <v>0</v>
      </c>
      <c r="N10" s="327">
        <f>IF(Input!J296&lt;0,-Input!J296,0)</f>
        <v>12618628.456680819</v>
      </c>
    </row>
    <row r="11" spans="2:14" x14ac:dyDescent="0.25">
      <c r="B11" t="s">
        <v>117</v>
      </c>
      <c r="C11" t="s">
        <v>50</v>
      </c>
      <c r="D11" t="s">
        <v>3176</v>
      </c>
      <c r="E11" s="327">
        <f>IF(Input!F297&gt;0,Input!F297,0)</f>
        <v>0</v>
      </c>
      <c r="F11" s="327">
        <f>IF(Input!F297&lt;0,-Input!F297,0)</f>
        <v>411834</v>
      </c>
      <c r="G11" s="327">
        <f>IF(Input!G297&gt;0,Input!G297,0)</f>
        <v>262552</v>
      </c>
      <c r="H11" s="327">
        <f>IF(Input!G297&lt;0,-Input!G297,0)</f>
        <v>0</v>
      </c>
      <c r="I11" s="327">
        <f>IF(Input!H297&gt;0,Input!H297,0)</f>
        <v>0</v>
      </c>
      <c r="J11" s="327">
        <f>IF(Input!H297&lt;0,-Input!H297,0)</f>
        <v>0</v>
      </c>
      <c r="K11" s="327">
        <f>IF(Input!I297&gt;0,Input!I297,0)</f>
        <v>0</v>
      </c>
      <c r="L11" s="327">
        <f>IF(Input!I297&lt;0,-Input!I297,0)</f>
        <v>0</v>
      </c>
      <c r="M11" s="327">
        <f>IF(Input!J297&gt;0,Input!J297,0)</f>
        <v>0</v>
      </c>
      <c r="N11" s="327">
        <f>IF(Input!J297&lt;0,-Input!J297,0)</f>
        <v>0</v>
      </c>
    </row>
    <row r="12" spans="2:14" x14ac:dyDescent="0.25">
      <c r="B12" t="s">
        <v>117</v>
      </c>
      <c r="C12" t="s">
        <v>391</v>
      </c>
      <c r="D12" t="s">
        <v>3176</v>
      </c>
      <c r="E12" s="327">
        <f>IF(Input!F298&gt;0,Input!F298,0)</f>
        <v>0</v>
      </c>
      <c r="F12" s="327">
        <f>IF(Input!F298&lt;0,-Input!F298,0)</f>
        <v>25149433</v>
      </c>
      <c r="G12" s="327">
        <f>IF(Input!G298&gt;0,Input!G298,0)</f>
        <v>13214193</v>
      </c>
      <c r="H12" s="327">
        <f>IF(Input!G298&lt;0,-Input!G298,0)</f>
        <v>0</v>
      </c>
      <c r="I12" s="327">
        <f>IF(Input!H298&gt;0,Input!H298,0)</f>
        <v>0</v>
      </c>
      <c r="J12" s="327">
        <f>IF(Input!H298&lt;0,-Input!H298,0)</f>
        <v>17765890.276849315</v>
      </c>
      <c r="K12" s="327">
        <f>IF(Input!I298&gt;0,Input!I298,0)</f>
        <v>5142387.7723150775</v>
      </c>
      <c r="L12" s="327">
        <f>IF(Input!I298&lt;0,-Input!I298,0)</f>
        <v>0</v>
      </c>
      <c r="M12" s="327">
        <f>IF(Input!J298&gt;0,Input!J298,0)</f>
        <v>8484939.8243198618</v>
      </c>
      <c r="N12" s="327">
        <f>IF(Input!J298&lt;0,-Input!J298,0)</f>
        <v>0</v>
      </c>
    </row>
    <row r="13" spans="2:14" x14ac:dyDescent="0.25">
      <c r="B13" t="s">
        <v>117</v>
      </c>
      <c r="C13" t="s">
        <v>392</v>
      </c>
      <c r="D13" t="s">
        <v>3176</v>
      </c>
      <c r="E13" s="327">
        <f>IF(Input!F299&gt;0,Input!F299,0)</f>
        <v>6015352</v>
      </c>
      <c r="F13" s="327">
        <f>IF(Input!F299&lt;0,-Input!F299,0)</f>
        <v>0</v>
      </c>
      <c r="G13" s="327">
        <f>IF(Input!G299&gt;0,Input!G299,0)</f>
        <v>12625384</v>
      </c>
      <c r="H13" s="327">
        <f>IF(Input!G299&lt;0,-Input!G299,0)</f>
        <v>0</v>
      </c>
      <c r="I13" s="327">
        <f>IF(Input!H299&gt;0,Input!H299,0)</f>
        <v>0</v>
      </c>
      <c r="J13" s="327">
        <f>IF(Input!H299&lt;0,-Input!H299,0)</f>
        <v>8769888.4910958894</v>
      </c>
      <c r="K13" s="327">
        <f>IF(Input!I299&gt;0,Input!I299,0)</f>
        <v>1977841.4508904144</v>
      </c>
      <c r="L13" s="327">
        <f>IF(Input!I299&lt;0,-Input!I299,0)</f>
        <v>0</v>
      </c>
      <c r="M13" s="327">
        <f>IF(Input!J299&gt;0,Input!J299,0)</f>
        <v>3263438.3939691745</v>
      </c>
      <c r="N13" s="327">
        <f>IF(Input!J299&lt;0,-Input!J299,0)</f>
        <v>0</v>
      </c>
    </row>
    <row r="14" spans="2:14" x14ac:dyDescent="0.25">
      <c r="B14" t="s">
        <v>117</v>
      </c>
      <c r="C14" t="s">
        <v>76</v>
      </c>
      <c r="D14" t="s">
        <v>3176</v>
      </c>
      <c r="E14" s="327">
        <f>IF(Input!F300&gt;0,Input!F300,0)</f>
        <v>2810399</v>
      </c>
      <c r="F14" s="327">
        <f>IF(Input!F300&lt;0,-Input!F300,0)</f>
        <v>0</v>
      </c>
      <c r="G14" s="327">
        <f>IF(Input!G300&gt;0,Input!G300,0)</f>
        <v>9745707</v>
      </c>
      <c r="H14" s="327">
        <f>IF(Input!G300&lt;0,-Input!G300,0)</f>
        <v>0</v>
      </c>
      <c r="I14" s="327">
        <f>IF(Input!H300&gt;0,Input!H300,0)</f>
        <v>609659.4109589085</v>
      </c>
      <c r="J14" s="327">
        <f>IF(Input!H300&lt;0,-Input!H300,0)</f>
        <v>0</v>
      </c>
      <c r="K14" s="327">
        <f>IF(Input!I300&gt;0,Input!I300,0)</f>
        <v>5559312.2410959005</v>
      </c>
      <c r="L14" s="327">
        <f>IF(Input!I300&lt;0,-Input!I300,0)</f>
        <v>0</v>
      </c>
      <c r="M14" s="327">
        <f>IF(Input!J300&gt;0,Input!J300,0)</f>
        <v>7949816.5047671124</v>
      </c>
      <c r="N14" s="327">
        <f>IF(Input!J300&lt;0,-Input!J300,0)</f>
        <v>0</v>
      </c>
    </row>
    <row r="15" spans="2:14" x14ac:dyDescent="0.25">
      <c r="B15" t="s">
        <v>117</v>
      </c>
      <c r="C15" t="s">
        <v>77</v>
      </c>
      <c r="D15" t="s">
        <v>3176</v>
      </c>
      <c r="E15" s="327">
        <f>IF(Input!F301&gt;0,Input!F301,0)</f>
        <v>542538413</v>
      </c>
      <c r="F15" s="327">
        <f>IF(Input!F301&lt;0,-Input!F301,0)</f>
        <v>0</v>
      </c>
      <c r="G15" s="327">
        <f>IF(Input!G301&gt;0,Input!G301,0)</f>
        <v>190813876</v>
      </c>
      <c r="H15" s="327">
        <f>IF(Input!G301&lt;0,-Input!G301,0)</f>
        <v>0</v>
      </c>
      <c r="I15" s="327">
        <f>IF(Input!H301&gt;0,Input!H301,0)</f>
        <v>0</v>
      </c>
      <c r="J15" s="327">
        <f>IF(Input!H301&lt;0,-Input!H301,0)</f>
        <v>274526049.59041095</v>
      </c>
      <c r="K15" s="327">
        <f>IF(Input!I301&gt;0,Input!I301,0)</f>
        <v>90980706.740959048</v>
      </c>
      <c r="L15" s="327">
        <f>IF(Input!I301&lt;0,-Input!I301,0)</f>
        <v>0</v>
      </c>
      <c r="M15" s="327">
        <f>IF(Input!J301&gt;0,Input!J301,0)</f>
        <v>150118166.12258208</v>
      </c>
      <c r="N15" s="327">
        <f>IF(Input!J301&lt;0,-Input!J301,0)</f>
        <v>0</v>
      </c>
    </row>
    <row r="16" spans="2:14" x14ac:dyDescent="0.25">
      <c r="E16" s="327"/>
      <c r="F16" s="327"/>
      <c r="G16" s="327"/>
      <c r="H16" s="327"/>
      <c r="I16" s="327"/>
      <c r="J16" s="327"/>
      <c r="K16" s="327"/>
      <c r="L16" s="327"/>
      <c r="M16" s="327"/>
      <c r="N16" s="327"/>
    </row>
    <row r="17" spans="2:14" x14ac:dyDescent="0.25">
      <c r="B17" t="s">
        <v>118</v>
      </c>
      <c r="E17" s="327"/>
      <c r="F17" s="327"/>
      <c r="G17" s="327"/>
      <c r="H17" s="327"/>
      <c r="I17" s="327"/>
      <c r="J17" s="327"/>
      <c r="K17" s="327"/>
      <c r="L17" s="327"/>
      <c r="M17" s="327"/>
      <c r="N17" s="327"/>
    </row>
    <row r="18" spans="2:14" x14ac:dyDescent="0.25">
      <c r="B18" t="s">
        <v>117</v>
      </c>
      <c r="C18" t="s">
        <v>1775</v>
      </c>
      <c r="D18" t="s">
        <v>3176</v>
      </c>
      <c r="E18" s="327">
        <f>IF(Input!F304&gt;0,Input!F304,0)</f>
        <v>0</v>
      </c>
      <c r="F18" s="327">
        <f>IF(Input!F304&lt;0,-Input!F304,0)</f>
        <v>17188284</v>
      </c>
      <c r="G18" s="327">
        <f>IF(Input!G304&gt;0,Input!G304,0)</f>
        <v>3118651</v>
      </c>
      <c r="H18" s="327">
        <f>IF(Input!G304&lt;0,-Input!G304,0)</f>
        <v>0</v>
      </c>
      <c r="I18" s="327">
        <f>IF(Input!H304&gt;0,Input!H304,0)</f>
        <v>13054245</v>
      </c>
      <c r="J18" s="327">
        <f>IF(Input!H304&lt;0,-Input!H304,0)</f>
        <v>0</v>
      </c>
      <c r="K18" s="327">
        <f>IF(Input!I304&gt;0,Input!I304,0)</f>
        <v>0</v>
      </c>
      <c r="L18" s="327">
        <f>IF(Input!I304&lt;0,-Input!I304,0)</f>
        <v>0</v>
      </c>
      <c r="M18" s="327">
        <f>IF(Input!J304&gt;0,Input!J304,0)</f>
        <v>0</v>
      </c>
      <c r="N18" s="327">
        <f>IF(Input!J304&lt;0,-Input!J304,0)</f>
        <v>0</v>
      </c>
    </row>
    <row r="19" spans="2:14" x14ac:dyDescent="0.25">
      <c r="B19" t="s">
        <v>117</v>
      </c>
      <c r="C19" t="s">
        <v>51</v>
      </c>
      <c r="D19" t="s">
        <v>3176</v>
      </c>
      <c r="E19" s="327">
        <f>IF(Input!F305&gt;0,Input!F305,0)</f>
        <v>0</v>
      </c>
      <c r="F19" s="327">
        <f>IF(Input!F305&lt;0,-Input!F305,0)</f>
        <v>0</v>
      </c>
      <c r="G19" s="327">
        <f>IF(Input!G305&gt;0,Input!G305,0)</f>
        <v>0</v>
      </c>
      <c r="H19" s="327">
        <f>IF(Input!G305&lt;0,-Input!G305,0)</f>
        <v>0</v>
      </c>
      <c r="I19" s="327">
        <f>IF(Input!H305&gt;0,Input!H305,0)</f>
        <v>0</v>
      </c>
      <c r="J19" s="327">
        <f>IF(Input!H305&lt;0,-Input!H305,0)</f>
        <v>0</v>
      </c>
      <c r="K19" s="327">
        <f>IF(Input!I305&gt;0,Input!I305,0)</f>
        <v>0</v>
      </c>
      <c r="L19" s="327">
        <f>IF(Input!I305&lt;0,-Input!I305,0)</f>
        <v>0</v>
      </c>
      <c r="M19" s="327">
        <f>IF(Input!J305&gt;0,Input!J305,0)</f>
        <v>0</v>
      </c>
      <c r="N19" s="327">
        <f>IF(Input!J305&lt;0,-Input!J305,0)</f>
        <v>0</v>
      </c>
    </row>
    <row r="20" spans="2:14" x14ac:dyDescent="0.25">
      <c r="B20" t="s">
        <v>117</v>
      </c>
      <c r="C20" t="s">
        <v>52</v>
      </c>
      <c r="D20" t="s">
        <v>3176</v>
      </c>
      <c r="E20" s="327">
        <f>IF(Input!F306&gt;0,Input!F306,0)</f>
        <v>0</v>
      </c>
      <c r="F20" s="327">
        <f>IF(Input!F306&lt;0,-Input!F306,0)</f>
        <v>6581814</v>
      </c>
      <c r="G20" s="327">
        <f>IF(Input!G306&gt;0,Input!G306,0)</f>
        <v>0</v>
      </c>
      <c r="H20" s="327">
        <f>IF(Input!G306&lt;0,-Input!G306,0)</f>
        <v>6631462</v>
      </c>
      <c r="I20" s="327">
        <f>IF(Input!H306&gt;0,Input!H306,0)</f>
        <v>0</v>
      </c>
      <c r="J20" s="327">
        <f>IF(Input!H306&lt;0,-Input!H306,0)</f>
        <v>0</v>
      </c>
      <c r="K20" s="327">
        <f>IF(Input!I306&gt;0,Input!I306,0)</f>
        <v>0</v>
      </c>
      <c r="L20" s="327">
        <f>IF(Input!I306&lt;0,-Input!I306,0)</f>
        <v>0</v>
      </c>
      <c r="M20" s="327">
        <f>IF(Input!J306&gt;0,Input!J306,0)</f>
        <v>0</v>
      </c>
      <c r="N20" s="327">
        <f>IF(Input!J306&lt;0,-Input!J306,0)</f>
        <v>0</v>
      </c>
    </row>
    <row r="21" spans="2:14" x14ac:dyDescent="0.25">
      <c r="B21" t="s">
        <v>117</v>
      </c>
      <c r="C21" t="s">
        <v>81</v>
      </c>
      <c r="D21" t="s">
        <v>3176</v>
      </c>
      <c r="E21" s="327">
        <f>IF(Input!F307&gt;0,Input!F307,0)</f>
        <v>0</v>
      </c>
      <c r="F21" s="327">
        <f>IF(Input!F307&lt;0,-Input!F307,0)</f>
        <v>14433457</v>
      </c>
      <c r="G21" s="327">
        <f>IF(Input!G307&gt;0,Input!G307,0)</f>
        <v>0</v>
      </c>
      <c r="H21" s="327">
        <f>IF(Input!G307&lt;0,-Input!G307,0)</f>
        <v>2291821</v>
      </c>
      <c r="I21" s="327">
        <f>IF(Input!H307&gt;0,Input!H307,0)</f>
        <v>0</v>
      </c>
      <c r="J21" s="327">
        <f>IF(Input!H307&lt;0,-Input!H307,0)</f>
        <v>0</v>
      </c>
      <c r="K21" s="327">
        <f>IF(Input!I307&gt;0,Input!I307,0)</f>
        <v>0</v>
      </c>
      <c r="L21" s="327">
        <f>IF(Input!I307&lt;0,-Input!I307,0)</f>
        <v>0</v>
      </c>
      <c r="M21" s="327">
        <f>IF(Input!J307&gt;0,Input!J307,0)</f>
        <v>0</v>
      </c>
      <c r="N21" s="327">
        <f>IF(Input!J307&lt;0,-Input!J307,0)</f>
        <v>0</v>
      </c>
    </row>
    <row r="22" spans="2:14" x14ac:dyDescent="0.25">
      <c r="E22" s="327"/>
      <c r="F22" s="327"/>
      <c r="G22" s="327"/>
      <c r="H22" s="327"/>
      <c r="I22" s="327"/>
      <c r="J22" s="327"/>
      <c r="K22" s="327"/>
      <c r="L22" s="327"/>
      <c r="M22" s="327"/>
      <c r="N22" s="327"/>
    </row>
    <row r="23" spans="2:14" x14ac:dyDescent="0.25">
      <c r="B23" t="s">
        <v>119</v>
      </c>
      <c r="E23" s="327"/>
      <c r="F23" s="327"/>
      <c r="G23" s="327"/>
      <c r="H23" s="327"/>
      <c r="I23" s="327"/>
      <c r="J23" s="327"/>
      <c r="K23" s="327"/>
      <c r="L23" s="327"/>
      <c r="M23" s="327"/>
      <c r="N23" s="327"/>
    </row>
    <row r="24" spans="2:14" x14ac:dyDescent="0.25">
      <c r="B24" t="s">
        <v>114</v>
      </c>
      <c r="C24" t="s">
        <v>120</v>
      </c>
      <c r="D24" t="s">
        <v>3175</v>
      </c>
      <c r="E24" s="327"/>
      <c r="F24" s="327">
        <f>-Input!F310</f>
        <v>266420</v>
      </c>
      <c r="G24" s="327"/>
      <c r="H24" s="327">
        <f>-Input!G310</f>
        <v>28188362</v>
      </c>
      <c r="I24" s="327"/>
      <c r="J24" s="327">
        <f>-Input!H310</f>
        <v>25922052</v>
      </c>
      <c r="K24" s="327"/>
      <c r="L24" s="327">
        <f>-Input!I310</f>
        <v>20737641.600000001</v>
      </c>
      <c r="M24" s="327"/>
      <c r="N24" s="327">
        <f>-Input!J310</f>
        <v>15553231.200000001</v>
      </c>
    </row>
    <row r="25" spans="2:14" x14ac:dyDescent="0.25">
      <c r="B25" t="s">
        <v>114</v>
      </c>
      <c r="C25" t="s">
        <v>121</v>
      </c>
      <c r="D25" t="s">
        <v>3175</v>
      </c>
      <c r="E25" s="327"/>
      <c r="F25" s="327">
        <f>-Input!F311</f>
        <v>13448647</v>
      </c>
      <c r="G25" s="327"/>
      <c r="H25" s="327">
        <f>-Input!G311</f>
        <v>13844474</v>
      </c>
      <c r="I25" s="327"/>
      <c r="J25" s="327">
        <f>-Input!H311</f>
        <v>7575014</v>
      </c>
      <c r="K25" s="327"/>
      <c r="L25" s="327">
        <f>-Input!I311</f>
        <v>39880080</v>
      </c>
      <c r="M25" s="327"/>
      <c r="N25" s="327">
        <f>-Input!J311</f>
        <v>39880080</v>
      </c>
    </row>
    <row r="26" spans="2:14" x14ac:dyDescent="0.25">
      <c r="B26" t="s">
        <v>114</v>
      </c>
      <c r="C26" t="s">
        <v>122</v>
      </c>
      <c r="D26" t="s">
        <v>3175</v>
      </c>
      <c r="E26" s="327"/>
      <c r="F26" s="327">
        <f>-Input!F312</f>
        <v>0</v>
      </c>
      <c r="G26" s="327"/>
      <c r="H26" s="327">
        <f>-Input!G312</f>
        <v>0</v>
      </c>
      <c r="I26" s="327"/>
      <c r="J26" s="327">
        <f>-Input!H312</f>
        <v>0</v>
      </c>
      <c r="K26" s="327"/>
      <c r="L26" s="327">
        <f>-Input!I312</f>
        <v>0</v>
      </c>
      <c r="M26" s="327"/>
      <c r="N26" s="327">
        <f>-Input!J312</f>
        <v>0</v>
      </c>
    </row>
    <row r="27" spans="2:14" x14ac:dyDescent="0.25">
      <c r="B27" t="s">
        <v>114</v>
      </c>
      <c r="C27" t="s">
        <v>123</v>
      </c>
      <c r="D27" t="s">
        <v>3175</v>
      </c>
      <c r="E27" s="327"/>
      <c r="F27" s="327">
        <f>-Input!F313</f>
        <v>0</v>
      </c>
      <c r="G27" s="327"/>
      <c r="H27" s="327">
        <f>-Input!G313</f>
        <v>0</v>
      </c>
      <c r="I27" s="327"/>
      <c r="J27" s="327">
        <f>-Input!H313</f>
        <v>0</v>
      </c>
      <c r="K27" s="327"/>
      <c r="L27" s="327">
        <f>-Input!I313</f>
        <v>0</v>
      </c>
      <c r="M27" s="327"/>
      <c r="N27" s="327">
        <f>-Input!J313</f>
        <v>0</v>
      </c>
    </row>
    <row r="28" spans="2:14" x14ac:dyDescent="0.25">
      <c r="B28" t="s">
        <v>114</v>
      </c>
      <c r="C28" t="s">
        <v>32</v>
      </c>
      <c r="D28" t="s">
        <v>3175</v>
      </c>
      <c r="E28" s="327"/>
      <c r="F28" s="327">
        <f>-Input!F314</f>
        <v>0</v>
      </c>
      <c r="G28" s="327"/>
      <c r="H28" s="327">
        <f>-Input!G314</f>
        <v>0</v>
      </c>
      <c r="I28" s="327"/>
      <c r="J28" s="327">
        <f>-Input!H314</f>
        <v>0</v>
      </c>
      <c r="K28" s="327"/>
      <c r="L28" s="327">
        <f>-Input!I314</f>
        <v>0</v>
      </c>
      <c r="M28" s="327"/>
      <c r="N28" s="327">
        <f>-Input!J314</f>
        <v>0</v>
      </c>
    </row>
    <row r="29" spans="2:14" x14ac:dyDescent="0.25">
      <c r="B29" t="s">
        <v>124</v>
      </c>
      <c r="E29" s="327"/>
      <c r="F29" s="327"/>
      <c r="G29" s="327"/>
      <c r="H29" s="327"/>
      <c r="I29" s="327"/>
      <c r="J29" s="327"/>
      <c r="K29" s="327"/>
      <c r="L29" s="327"/>
      <c r="M29" s="327"/>
      <c r="N29" s="327"/>
    </row>
    <row r="30" spans="2:14" x14ac:dyDescent="0.25">
      <c r="B30" t="s">
        <v>114</v>
      </c>
      <c r="C30" t="s">
        <v>125</v>
      </c>
      <c r="D30" t="s">
        <v>3175</v>
      </c>
      <c r="E30" s="327"/>
      <c r="F30" s="327">
        <f>-Input!F316</f>
        <v>179923601</v>
      </c>
      <c r="G30" s="327"/>
      <c r="H30" s="327">
        <f>-Input!G316</f>
        <v>239613169</v>
      </c>
      <c r="I30" s="327"/>
      <c r="J30" s="327">
        <f>-Input!H316</f>
        <v>0</v>
      </c>
      <c r="K30" s="327"/>
      <c r="L30" s="327">
        <f>-Input!I316</f>
        <v>54863831</v>
      </c>
      <c r="M30" s="327"/>
      <c r="N30" s="327">
        <f>-Input!J316</f>
        <v>0</v>
      </c>
    </row>
    <row r="31" spans="2:14" x14ac:dyDescent="0.25">
      <c r="B31" t="s">
        <v>1776</v>
      </c>
      <c r="E31" s="327"/>
      <c r="F31" s="327"/>
      <c r="G31" s="327"/>
      <c r="H31" s="327"/>
      <c r="I31" s="327"/>
      <c r="J31" s="327"/>
      <c r="K31" s="327"/>
      <c r="L31" s="327"/>
      <c r="M31" s="327"/>
      <c r="N31" s="327"/>
    </row>
    <row r="32" spans="2:14" x14ac:dyDescent="0.25">
      <c r="E32" s="327"/>
      <c r="F32" s="327"/>
      <c r="G32" s="327"/>
      <c r="H32" s="327"/>
      <c r="I32" s="327"/>
      <c r="J32" s="327"/>
      <c r="K32" s="327"/>
      <c r="L32" s="327"/>
      <c r="M32" s="327"/>
      <c r="N32" s="327"/>
    </row>
    <row r="33" spans="2:14" x14ac:dyDescent="0.25">
      <c r="B33" t="s">
        <v>126</v>
      </c>
      <c r="E33" s="327"/>
      <c r="F33" s="327"/>
      <c r="G33" s="327"/>
      <c r="H33" s="327"/>
      <c r="I33" s="327"/>
      <c r="J33" s="327"/>
      <c r="K33" s="327"/>
      <c r="L33" s="327"/>
      <c r="M33" s="327"/>
      <c r="N33" s="327"/>
    </row>
    <row r="34" spans="2:14" x14ac:dyDescent="0.25">
      <c r="B34" t="s">
        <v>114</v>
      </c>
      <c r="C34" t="s">
        <v>127</v>
      </c>
      <c r="D34" t="s">
        <v>3176</v>
      </c>
      <c r="E34" s="327"/>
      <c r="F34" s="327">
        <f>-Input!F320</f>
        <v>42145938</v>
      </c>
      <c r="G34" s="327"/>
      <c r="H34" s="327">
        <f>-Input!G320</f>
        <v>50277084</v>
      </c>
      <c r="I34" s="327"/>
      <c r="J34" s="327">
        <f>-Input!H320</f>
        <v>210167586.54999995</v>
      </c>
      <c r="K34" s="327"/>
      <c r="L34" s="327">
        <f>-Input!I320</f>
        <v>253240998.6225</v>
      </c>
      <c r="M34" s="327"/>
      <c r="N34" s="327">
        <f>-Input!J320</f>
        <v>305409259.80862522</v>
      </c>
    </row>
    <row r="35" spans="2:14" x14ac:dyDescent="0.25">
      <c r="B35" t="s">
        <v>117</v>
      </c>
      <c r="C35" t="s">
        <v>61</v>
      </c>
      <c r="D35" t="s">
        <v>3176</v>
      </c>
      <c r="E35" s="327">
        <f>IF(Input!F321&gt;0,Input!F321,0)</f>
        <v>0</v>
      </c>
      <c r="F35" s="327">
        <f>IF(Input!F321&lt;0,-Input!F321,0)</f>
        <v>0</v>
      </c>
      <c r="G35" s="327">
        <f>IF(Input!G321&gt;0,Input!G321,0)</f>
        <v>0</v>
      </c>
      <c r="H35" s="327">
        <f>IF(Input!G321&lt;0,-Input!G321,0)</f>
        <v>0</v>
      </c>
      <c r="I35" s="327">
        <f>IF(Input!H321&gt;0,Input!H321,0)</f>
        <v>0</v>
      </c>
      <c r="J35" s="327">
        <f>IF(Input!H321&lt;0,-Input!H321,0)</f>
        <v>0</v>
      </c>
      <c r="K35" s="327">
        <f>IF(Input!I321&gt;0,Input!I321,0)</f>
        <v>0</v>
      </c>
      <c r="L35" s="327">
        <f>IF(Input!I321&lt;0,-Input!I321,0)</f>
        <v>0</v>
      </c>
      <c r="M35" s="327">
        <f>IF(Input!J321&gt;0,Input!J321,0)</f>
        <v>0</v>
      </c>
      <c r="N35" s="327">
        <f>IF(Input!J321&lt;0,-Input!J321,0)</f>
        <v>0</v>
      </c>
    </row>
    <row r="36" spans="2:14" x14ac:dyDescent="0.25">
      <c r="B36" t="s">
        <v>117</v>
      </c>
      <c r="C36" t="s">
        <v>1782</v>
      </c>
      <c r="D36" t="s">
        <v>3176</v>
      </c>
      <c r="E36" s="327">
        <f>IF(Input!F322&gt;0,Input!F322,0)</f>
        <v>7260629</v>
      </c>
      <c r="F36" s="327">
        <f>IF(Input!F322&lt;0,-Input!F322,0)</f>
        <v>0</v>
      </c>
      <c r="G36" s="327">
        <f>IF(Input!G322&gt;0,Input!G322,0)</f>
        <v>0</v>
      </c>
      <c r="H36" s="327">
        <f>IF(Input!G322&lt;0,-Input!G322,0)</f>
        <v>30247332</v>
      </c>
      <c r="I36" s="327">
        <f>IF(Input!H322&gt;0,Input!H322,0)</f>
        <v>0</v>
      </c>
      <c r="J36" s="327">
        <f>IF(Input!H322&lt;0,-Input!H322,0)</f>
        <v>0</v>
      </c>
      <c r="K36" s="327">
        <f>IF(Input!I322&gt;0,Input!I322,0)</f>
        <v>0</v>
      </c>
      <c r="L36" s="327">
        <f>IF(Input!I322&lt;0,-Input!I322,0)</f>
        <v>0</v>
      </c>
      <c r="M36" s="327">
        <f>IF(Input!J322&gt;0,Input!J322,0)</f>
        <v>0</v>
      </c>
      <c r="N36" s="327">
        <f>IF(Input!J322&lt;0,-Input!J322,0)</f>
        <v>0</v>
      </c>
    </row>
    <row r="37" spans="2:14" x14ac:dyDescent="0.25">
      <c r="B37" t="s">
        <v>117</v>
      </c>
      <c r="C37" t="s">
        <v>67</v>
      </c>
      <c r="D37" t="s">
        <v>3176</v>
      </c>
      <c r="E37" s="327">
        <f>IF(Input!F323&gt;0,Input!F323,0)</f>
        <v>0</v>
      </c>
      <c r="F37" s="327">
        <f>IF(Input!F323&lt;0,-Input!F323,0)</f>
        <v>0</v>
      </c>
      <c r="G37" s="327">
        <f>IF(Input!G323&gt;0,Input!G323,0)</f>
        <v>0</v>
      </c>
      <c r="H37" s="327">
        <f>IF(Input!G323&lt;0,-Input!G323,0)</f>
        <v>0</v>
      </c>
      <c r="I37" s="327">
        <f>IF(Input!H323&gt;0,Input!H323,0)</f>
        <v>0</v>
      </c>
      <c r="J37" s="327">
        <f>IF(Input!H323&lt;0,-Input!H323,0)</f>
        <v>0</v>
      </c>
      <c r="K37" s="327">
        <f>IF(Input!I323&gt;0,Input!I323,0)</f>
        <v>0</v>
      </c>
      <c r="L37" s="327">
        <f>IF(Input!I323&lt;0,-Input!I323,0)</f>
        <v>0</v>
      </c>
      <c r="M37" s="327">
        <f>IF(Input!J323&gt;0,Input!J323,0)</f>
        <v>0</v>
      </c>
      <c r="N37" s="327">
        <f>IF(Input!J323&lt;0,-Input!J323,0)</f>
        <v>2186679.56</v>
      </c>
    </row>
    <row r="38" spans="2:14" x14ac:dyDescent="0.25">
      <c r="B38" t="s">
        <v>111</v>
      </c>
      <c r="C38" t="s">
        <v>18</v>
      </c>
      <c r="D38" t="s">
        <v>3177</v>
      </c>
      <c r="E38" s="327">
        <f>Input!F324</f>
        <v>54733782</v>
      </c>
      <c r="F38" s="327"/>
      <c r="G38" s="327">
        <f>Input!G324</f>
        <v>75483386</v>
      </c>
      <c r="H38" s="327"/>
      <c r="I38" s="327">
        <f>Input!H324</f>
        <v>48180444.333333336</v>
      </c>
      <c r="J38" s="327"/>
      <c r="K38" s="327">
        <f>Input!I324</f>
        <v>48180445</v>
      </c>
      <c r="L38" s="327"/>
      <c r="M38" s="327">
        <f>Input!J324</f>
        <v>48180445</v>
      </c>
      <c r="N38" s="327"/>
    </row>
    <row r="39" spans="2:14" x14ac:dyDescent="0.25">
      <c r="B39" t="s">
        <v>111</v>
      </c>
      <c r="C39" t="s">
        <v>19</v>
      </c>
      <c r="D39" t="s">
        <v>3177</v>
      </c>
      <c r="E39" s="327">
        <f>Input!F325</f>
        <v>45408021</v>
      </c>
      <c r="F39" s="327"/>
      <c r="G39" s="327">
        <f>Input!G325</f>
        <v>54202720</v>
      </c>
      <c r="H39" s="327"/>
      <c r="I39" s="327">
        <f>Input!H325</f>
        <v>56912856</v>
      </c>
      <c r="J39" s="327"/>
      <c r="K39" s="327">
        <f>Input!I325</f>
        <v>54202720</v>
      </c>
      <c r="L39" s="327"/>
      <c r="M39" s="327">
        <f>Input!J325</f>
        <v>54202720</v>
      </c>
      <c r="N39" s="327"/>
    </row>
    <row r="40" spans="2:14" x14ac:dyDescent="0.25">
      <c r="B40" t="s">
        <v>111</v>
      </c>
      <c r="C40" t="s">
        <v>128</v>
      </c>
      <c r="D40" t="s">
        <v>3176</v>
      </c>
      <c r="E40" s="327">
        <f>IF(Input!F326&gt;0,Input!F326,0)</f>
        <v>456454</v>
      </c>
      <c r="F40" s="327">
        <f>IF(Input!F326&lt;0,-Input!F326,0)</f>
        <v>0</v>
      </c>
      <c r="G40" s="327">
        <f>IF(Input!G326&gt;0,Input!G326,0)</f>
        <v>122822</v>
      </c>
      <c r="H40" s="327">
        <f>IF(Input!G326&lt;0,-Input!G326,0)</f>
        <v>0</v>
      </c>
      <c r="I40" s="327">
        <f>IF(Input!H326&gt;0,Input!H326,0)</f>
        <v>122822</v>
      </c>
      <c r="J40" s="327">
        <f>IF(Input!H326&lt;0,-Input!H326,0)</f>
        <v>0</v>
      </c>
      <c r="K40" s="327">
        <f>IF(Input!I326&gt;0,Input!I326,0)</f>
        <v>122822</v>
      </c>
      <c r="L40" s="327">
        <f>IF(Input!I326&lt;0,-Input!I326,0)</f>
        <v>0</v>
      </c>
      <c r="M40" s="327">
        <f>IF(Input!J326&gt;0,Input!J326,0)</f>
        <v>122822</v>
      </c>
      <c r="N40" s="327">
        <f>IF(Input!J326&lt;0,-Input!J326,0)</f>
        <v>0</v>
      </c>
    </row>
    <row r="41" spans="2:14" x14ac:dyDescent="0.25">
      <c r="B41" t="s">
        <v>111</v>
      </c>
      <c r="C41" t="s">
        <v>29</v>
      </c>
      <c r="D41" t="s">
        <v>3176</v>
      </c>
      <c r="E41" s="327">
        <f>IF(Input!F327&gt;0,Input!F327,0)</f>
        <v>0</v>
      </c>
      <c r="F41" s="327">
        <f>IF(Input!F327&lt;0,-Input!F327,0)</f>
        <v>0</v>
      </c>
      <c r="G41" s="327">
        <f>IF(Input!G327&gt;0,Input!G327,0)</f>
        <v>0</v>
      </c>
      <c r="H41" s="327">
        <f>IF(Input!G327&lt;0,-Input!G327,0)</f>
        <v>0</v>
      </c>
      <c r="I41" s="327">
        <f>IF(Input!H327&gt;0,Input!H327,0)</f>
        <v>0</v>
      </c>
      <c r="J41" s="327">
        <f>IF(Input!H327&lt;0,-Input!H327,0)</f>
        <v>0</v>
      </c>
      <c r="K41" s="327">
        <f>IF(Input!I327&gt;0,Input!I327,0)</f>
        <v>0</v>
      </c>
      <c r="L41" s="327">
        <f>IF(Input!I327&lt;0,-Input!I327,0)</f>
        <v>0</v>
      </c>
      <c r="M41" s="327">
        <f>IF(Input!J327&gt;0,Input!J327,0)</f>
        <v>0</v>
      </c>
      <c r="N41" s="327">
        <f>IF(Input!J327&lt;0,-Input!J327,0)</f>
        <v>0</v>
      </c>
    </row>
    <row r="42" spans="2:14" x14ac:dyDescent="0.25">
      <c r="B42" t="s">
        <v>111</v>
      </c>
      <c r="C42" t="s">
        <v>129</v>
      </c>
      <c r="D42" t="s">
        <v>3176</v>
      </c>
      <c r="E42" s="327">
        <f>IF(Input!F328&gt;0,Input!F328,0)</f>
        <v>0</v>
      </c>
      <c r="F42" s="327">
        <f>IF(Input!F328&lt;0,-Input!F328,0)</f>
        <v>0</v>
      </c>
      <c r="G42" s="327">
        <f>IF(Input!G328&gt;0,Input!G328,0)</f>
        <v>0</v>
      </c>
      <c r="H42" s="327">
        <f>IF(Input!G328&lt;0,-Input!G328,0)</f>
        <v>0</v>
      </c>
      <c r="I42" s="327">
        <f>IF(Input!H328&gt;0,Input!H328,0)</f>
        <v>0</v>
      </c>
      <c r="J42" s="327">
        <f>IF(Input!H328&lt;0,-Input!H328,0)</f>
        <v>0</v>
      </c>
      <c r="K42" s="327">
        <f>IF(Input!I328&gt;0,Input!I328,0)</f>
        <v>0</v>
      </c>
      <c r="L42" s="327">
        <f>IF(Input!I328&lt;0,-Input!I328,0)</f>
        <v>0</v>
      </c>
      <c r="M42" s="327">
        <f>IF(Input!J328&gt;0,Input!J328,0)</f>
        <v>0</v>
      </c>
      <c r="N42" s="327">
        <f>IF(Input!J328&lt;0,-Input!J328,0)</f>
        <v>0</v>
      </c>
    </row>
    <row r="43" spans="2:14" x14ac:dyDescent="0.25">
      <c r="E43" s="327"/>
      <c r="F43" s="327"/>
      <c r="G43" s="327"/>
      <c r="H43" s="327"/>
      <c r="I43" s="327"/>
      <c r="J43" s="327"/>
      <c r="K43" s="327"/>
      <c r="L43" s="327"/>
      <c r="M43" s="327"/>
      <c r="N43" s="327"/>
    </row>
    <row r="44" spans="2:14" x14ac:dyDescent="0.25">
      <c r="B44" t="s">
        <v>130</v>
      </c>
      <c r="E44" s="327"/>
      <c r="F44" s="327"/>
      <c r="G44" s="327"/>
      <c r="H44" s="327"/>
      <c r="I44" s="327"/>
      <c r="J44" s="327"/>
      <c r="K44" s="327"/>
      <c r="L44" s="327"/>
      <c r="M44" s="327"/>
      <c r="N44" s="327"/>
    </row>
    <row r="45" spans="2:14" x14ac:dyDescent="0.25">
      <c r="B45" t="s">
        <v>117</v>
      </c>
      <c r="C45" t="s">
        <v>131</v>
      </c>
      <c r="D45" t="s">
        <v>3176</v>
      </c>
      <c r="E45" s="327">
        <f>IF(Input!F331&gt;0,Input!F331,0)</f>
        <v>0</v>
      </c>
      <c r="F45" s="327">
        <f>IF(Input!F331&lt;0,-Input!F331,0)</f>
        <v>0</v>
      </c>
      <c r="G45" s="327">
        <f>IF(Input!G331&gt;0,Input!G331,0)</f>
        <v>92810674</v>
      </c>
      <c r="H45" s="327">
        <f>IF(Input!G331&lt;0,-Input!G331,0)</f>
        <v>0</v>
      </c>
      <c r="I45" s="327">
        <f>IF(Input!H331&gt;0,Input!H331,0)</f>
        <v>0</v>
      </c>
      <c r="J45" s="327">
        <f>IF(Input!H331&lt;0,-Input!H331,0)</f>
        <v>92810674</v>
      </c>
      <c r="K45" s="327">
        <f>IF(Input!I331&gt;0,Input!I331,0)</f>
        <v>0</v>
      </c>
      <c r="L45" s="327">
        <f>IF(Input!I331&lt;0,-Input!I331,0)</f>
        <v>0</v>
      </c>
      <c r="M45" s="327">
        <f>IF(Input!J331&gt;0,Input!J331,0)</f>
        <v>16820612</v>
      </c>
      <c r="N45" s="327">
        <f>IF(Input!J331&lt;0,-Input!J331,0)</f>
        <v>0</v>
      </c>
    </row>
    <row r="46" spans="2:14" x14ac:dyDescent="0.25">
      <c r="B46" t="s">
        <v>117</v>
      </c>
      <c r="C46" t="s">
        <v>132</v>
      </c>
      <c r="D46" t="s">
        <v>3176</v>
      </c>
      <c r="E46" s="327">
        <f>IF(Input!F332&gt;0,Input!F332,0)</f>
        <v>593741</v>
      </c>
      <c r="F46" s="327">
        <f>IF(Input!F332&lt;0,-Input!F332,0)</f>
        <v>0</v>
      </c>
      <c r="G46" s="327">
        <f>IF(Input!G332&gt;0,Input!G332,0)</f>
        <v>652753</v>
      </c>
      <c r="H46" s="327">
        <f>IF(Input!G332&lt;0,-Input!G332,0)</f>
        <v>0</v>
      </c>
      <c r="I46" s="327">
        <f>IF(Input!H332&gt;0,Input!H332,0)</f>
        <v>199400400</v>
      </c>
      <c r="J46" s="327">
        <f>IF(Input!H332&lt;0,-Input!H332,0)</f>
        <v>0</v>
      </c>
      <c r="K46" s="327">
        <f>IF(Input!I332&gt;0,Input!I332,0)</f>
        <v>0</v>
      </c>
      <c r="L46" s="327">
        <f>IF(Input!I332&lt;0,-Input!I332,0)</f>
        <v>0</v>
      </c>
      <c r="M46" s="327">
        <f>IF(Input!J332&gt;0,Input!J332,0)</f>
        <v>0</v>
      </c>
      <c r="N46" s="327">
        <f>IF(Input!J332&lt;0,-Input!J332,0)</f>
        <v>0</v>
      </c>
    </row>
    <row r="47" spans="2:14" x14ac:dyDescent="0.25">
      <c r="B47" t="s">
        <v>117</v>
      </c>
      <c r="C47" t="s">
        <v>133</v>
      </c>
      <c r="D47" t="s">
        <v>3176</v>
      </c>
      <c r="E47" s="327">
        <f>IF(Input!F333&gt;0,Input!F333,0)</f>
        <v>0</v>
      </c>
      <c r="F47" s="327">
        <f>IF(Input!F333&lt;0,-Input!F333,0)</f>
        <v>0</v>
      </c>
      <c r="G47" s="327">
        <f>IF(Input!G333&gt;0,Input!G333,0)</f>
        <v>0</v>
      </c>
      <c r="H47" s="327">
        <f>IF(Input!G333&lt;0,-Input!G333,0)</f>
        <v>0</v>
      </c>
      <c r="I47" s="327">
        <f>IF(Input!H333&gt;0,Input!H333,0)</f>
        <v>0</v>
      </c>
      <c r="J47" s="327">
        <f>IF(Input!H333&lt;0,-Input!H333,0)</f>
        <v>0</v>
      </c>
      <c r="K47" s="327">
        <f>IF(Input!I333&gt;0,Input!I333,0)</f>
        <v>0</v>
      </c>
      <c r="L47" s="327">
        <f>IF(Input!I333&lt;0,-Input!I333,0)</f>
        <v>0</v>
      </c>
      <c r="M47" s="327">
        <f>IF(Input!J333&gt;0,Input!J333,0)</f>
        <v>0</v>
      </c>
      <c r="N47" s="327">
        <f>IF(Input!J333&lt;0,-Input!J333,0)</f>
        <v>0</v>
      </c>
    </row>
    <row r="48" spans="2:14" x14ac:dyDescent="0.25">
      <c r="B48" t="s">
        <v>117</v>
      </c>
      <c r="C48" t="s">
        <v>134</v>
      </c>
      <c r="D48" t="s">
        <v>3176</v>
      </c>
      <c r="E48" s="327">
        <f>IF(Input!F334&gt;0,Input!F334,0)</f>
        <v>0</v>
      </c>
      <c r="F48" s="327">
        <f>IF(Input!F334&lt;0,-Input!F334,0)</f>
        <v>0</v>
      </c>
      <c r="G48" s="327">
        <f>IF(Input!G334&gt;0,Input!G334,0)</f>
        <v>0</v>
      </c>
      <c r="H48" s="327">
        <f>IF(Input!G334&lt;0,-Input!G334,0)</f>
        <v>0</v>
      </c>
      <c r="I48" s="327">
        <f>IF(Input!H334&gt;0,Input!H334,0)</f>
        <v>0</v>
      </c>
      <c r="J48" s="327">
        <f>IF(Input!H334&lt;0,-Input!H334,0)</f>
        <v>0</v>
      </c>
      <c r="K48" s="327">
        <f>IF(Input!I334&gt;0,Input!I334,0)</f>
        <v>0</v>
      </c>
      <c r="L48" s="327">
        <f>IF(Input!I334&lt;0,-Input!I334,0)</f>
        <v>0</v>
      </c>
      <c r="M48" s="327">
        <f>IF(Input!J334&gt;0,Input!J334,0)</f>
        <v>0</v>
      </c>
      <c r="N48" s="327">
        <f>IF(Input!J334&lt;0,-Input!J334,0)</f>
        <v>0</v>
      </c>
    </row>
    <row r="49" spans="2:14" x14ac:dyDescent="0.25">
      <c r="B49" t="s">
        <v>117</v>
      </c>
      <c r="C49" t="s">
        <v>135</v>
      </c>
      <c r="D49" t="s">
        <v>3176</v>
      </c>
      <c r="E49" s="327">
        <f>IF(Input!F335&gt;0,Input!F335,0)</f>
        <v>8634101</v>
      </c>
      <c r="F49" s="327">
        <f>IF(Input!F335&lt;0,-Input!F335,0)</f>
        <v>0</v>
      </c>
      <c r="G49" s="327">
        <f>IF(Input!G335&gt;0,Input!G335,0)</f>
        <v>4216484</v>
      </c>
      <c r="H49" s="327">
        <f>IF(Input!G335&lt;0,-Input!G335,0)</f>
        <v>0</v>
      </c>
      <c r="I49" s="327">
        <f>IF(Input!H335&gt;0,Input!H335,0)</f>
        <v>0</v>
      </c>
      <c r="J49" s="327">
        <f>IF(Input!H335&lt;0,-Input!H335,0)</f>
        <v>0</v>
      </c>
      <c r="K49" s="327">
        <f>IF(Input!I335&gt;0,Input!I335,0)</f>
        <v>0</v>
      </c>
      <c r="L49" s="327">
        <f>IF(Input!I335&lt;0,-Input!I335,0)</f>
        <v>0</v>
      </c>
      <c r="M49" s="327">
        <f>IF(Input!J335&gt;0,Input!J335,0)</f>
        <v>0</v>
      </c>
      <c r="N49" s="327">
        <f>IF(Input!J335&lt;0,-Input!J335,0)</f>
        <v>0</v>
      </c>
    </row>
    <row r="50" spans="2:14" x14ac:dyDescent="0.25">
      <c r="B50" t="s">
        <v>117</v>
      </c>
      <c r="C50" t="s">
        <v>93</v>
      </c>
      <c r="D50" t="s">
        <v>3176</v>
      </c>
      <c r="E50" s="327">
        <f>IF(Input!F336&gt;0,Input!F336,0)</f>
        <v>0</v>
      </c>
      <c r="F50" s="327">
        <f>IF(Input!F336&lt;0,-Input!F336,0)</f>
        <v>0</v>
      </c>
      <c r="G50" s="327">
        <f>IF(Input!G336&gt;0,Input!G336,0)</f>
        <v>0</v>
      </c>
      <c r="H50" s="327">
        <f>IF(Input!G336&lt;0,-Input!G336,0)</f>
        <v>0</v>
      </c>
      <c r="I50" s="327">
        <f>IF(Input!H336&gt;0,Input!H336,0)</f>
        <v>0</v>
      </c>
      <c r="J50" s="327">
        <f>IF(Input!H336&lt;0,-Input!H336,0)</f>
        <v>0</v>
      </c>
      <c r="K50" s="327">
        <f>IF(Input!I336&gt;0,Input!I336,0)</f>
        <v>0</v>
      </c>
      <c r="L50" s="327">
        <f>IF(Input!I336&lt;0,-Input!I336,0)</f>
        <v>0</v>
      </c>
      <c r="M50" s="327">
        <f>IF(Input!J336&gt;0,Input!J336,0)</f>
        <v>0</v>
      </c>
      <c r="N50" s="327">
        <f>IF(Input!J336&lt;0,-Input!J336,0)</f>
        <v>0</v>
      </c>
    </row>
    <row r="51" spans="2:14" x14ac:dyDescent="0.25">
      <c r="B51" t="s">
        <v>117</v>
      </c>
      <c r="C51" t="s">
        <v>91</v>
      </c>
      <c r="D51" t="s">
        <v>3176</v>
      </c>
      <c r="E51" s="327">
        <f>IF(Input!F337&gt;0,Input!F337,0)</f>
        <v>0</v>
      </c>
      <c r="F51" s="327">
        <f>IF(Input!F337&lt;0,-Input!F337,0)</f>
        <v>0</v>
      </c>
      <c r="G51" s="327">
        <f>IF(Input!G337&gt;0,Input!G337,0)</f>
        <v>0</v>
      </c>
      <c r="H51" s="327">
        <f>IF(Input!G337&lt;0,-Input!G337,0)</f>
        <v>0</v>
      </c>
      <c r="I51" s="327">
        <f>IF(Input!H337&gt;0,Input!H337,0)</f>
        <v>0</v>
      </c>
      <c r="J51" s="327">
        <f>IF(Input!H337&lt;0,-Input!H337,0)</f>
        <v>0</v>
      </c>
      <c r="K51" s="327">
        <f>IF(Input!I337&gt;0,Input!I337,0)</f>
        <v>0</v>
      </c>
      <c r="L51" s="327">
        <f>IF(Input!I337&lt;0,-Input!I337,0)</f>
        <v>0</v>
      </c>
      <c r="M51" s="327">
        <f>IF(Input!J337&gt;0,Input!J337,0)</f>
        <v>0</v>
      </c>
      <c r="N51" s="327">
        <f>IF(Input!J337&lt;0,-Input!J337,0)</f>
        <v>0</v>
      </c>
    </row>
    <row r="52" spans="2:14" x14ac:dyDescent="0.25">
      <c r="B52" t="s">
        <v>117</v>
      </c>
      <c r="C52" t="s">
        <v>136</v>
      </c>
      <c r="D52" t="s">
        <v>3176</v>
      </c>
      <c r="E52" s="327">
        <f>IF(Input!F338&gt;0,Input!F338,0)</f>
        <v>2.9802322387695313E-8</v>
      </c>
      <c r="F52" s="327">
        <f>IF(Input!F338&lt;0,-Input!F338,0)</f>
        <v>0</v>
      </c>
      <c r="G52" s="327">
        <f>IF(Input!G338&gt;0,Input!G338,0)</f>
        <v>0</v>
      </c>
      <c r="H52" s="327">
        <f>IF(Input!G338&lt;0,-Input!G338,0)</f>
        <v>2.9802322387695313E-8</v>
      </c>
      <c r="I52" s="327">
        <f>IF(Input!H338&gt;0,Input!H338,0)</f>
        <v>202634715.90000007</v>
      </c>
      <c r="J52" s="327">
        <f>IF(Input!H338&lt;0,-Input!H338,0)</f>
        <v>0</v>
      </c>
      <c r="K52" s="327">
        <f>IF(Input!I338&gt;0,Input!I338,0)</f>
        <v>5.9604644775390625E-8</v>
      </c>
      <c r="L52" s="327">
        <f>IF(Input!I338&lt;0,-Input!I338,0)</f>
        <v>0</v>
      </c>
      <c r="M52" s="327">
        <f>IF(Input!J338&gt;0,Input!J338,0)</f>
        <v>2.9802322387695313E-8</v>
      </c>
      <c r="N52" s="327">
        <f>IF(Input!J338&lt;0,-Input!J338,0)</f>
        <v>0</v>
      </c>
    </row>
    <row r="53" spans="2:14" x14ac:dyDescent="0.25">
      <c r="E53" s="873">
        <f t="shared" ref="E53" si="0">SUM(E4:E52)-SUM(F4:F52)</f>
        <v>596944156</v>
      </c>
      <c r="F53" s="873"/>
      <c r="G53" s="873">
        <f t="shared" ref="G53" si="1">SUM(G4:G52)-SUM(H4:H52)</f>
        <v>241283268</v>
      </c>
      <c r="H53" s="873"/>
      <c r="I53" s="873">
        <f t="shared" ref="I53" si="2">SUM(I4:I52)-SUM(J4:J52)</f>
        <v>-0.16803646087646484</v>
      </c>
      <c r="J53" s="873"/>
      <c r="K53" s="873">
        <f t="shared" ref="K53" si="3">SUM(K4:K52)-SUM(L4:L52)</f>
        <v>68697512.183985114</v>
      </c>
      <c r="L53" s="873"/>
      <c r="M53" s="873">
        <f t="shared" ref="M53" si="4">SUM(M4:M52)-SUM(N4:N52)</f>
        <v>138644069.38771117</v>
      </c>
      <c r="N53" s="873"/>
    </row>
    <row r="54" spans="2:14" x14ac:dyDescent="0.25">
      <c r="B54" t="s">
        <v>137</v>
      </c>
      <c r="E54" s="679"/>
      <c r="F54" s="679"/>
      <c r="G54" s="679"/>
      <c r="H54" s="679"/>
      <c r="I54" s="679"/>
      <c r="J54" s="679"/>
      <c r="K54" s="679"/>
      <c r="L54" s="679"/>
      <c r="M54" s="679"/>
    </row>
    <row r="55" spans="2:14" x14ac:dyDescent="0.25">
      <c r="F55" s="327"/>
      <c r="H55" s="327"/>
      <c r="J55" s="327"/>
      <c r="L55" s="327"/>
    </row>
    <row r="56" spans="2:14" x14ac:dyDescent="0.25">
      <c r="F56" s="327"/>
      <c r="H56" s="327"/>
      <c r="J56" s="327"/>
      <c r="L56" s="327"/>
    </row>
    <row r="57" spans="2:14" x14ac:dyDescent="0.25">
      <c r="F57" s="327"/>
      <c r="H57" s="327"/>
      <c r="J57" s="327"/>
      <c r="L57" s="327"/>
    </row>
    <row r="58" spans="2:14" x14ac:dyDescent="0.25">
      <c r="F58" s="327"/>
      <c r="H58" s="327"/>
      <c r="J58" s="327"/>
      <c r="L58" s="327"/>
    </row>
    <row r="59" spans="2:14" x14ac:dyDescent="0.25">
      <c r="F59" s="327"/>
      <c r="H59" s="327"/>
      <c r="J59" s="327"/>
      <c r="L59" s="327"/>
    </row>
    <row r="60" spans="2:14" x14ac:dyDescent="0.25">
      <c r="F60" s="327"/>
      <c r="H60" s="327"/>
      <c r="J60" s="327"/>
      <c r="L60" s="327"/>
    </row>
    <row r="61" spans="2:14" x14ac:dyDescent="0.25">
      <c r="F61" s="327"/>
      <c r="H61" s="327"/>
      <c r="J61" s="327"/>
      <c r="L61" s="327"/>
    </row>
    <row r="62" spans="2:14" x14ac:dyDescent="0.25">
      <c r="F62" s="327"/>
      <c r="H62" s="327"/>
      <c r="J62" s="327"/>
      <c r="L62" s="327"/>
    </row>
    <row r="63" spans="2:14" x14ac:dyDescent="0.25">
      <c r="F63" s="327"/>
      <c r="H63" s="327"/>
      <c r="J63" s="327"/>
      <c r="L63" s="327"/>
    </row>
    <row r="64" spans="2:14" x14ac:dyDescent="0.25">
      <c r="F64" s="327"/>
      <c r="H64" s="327"/>
      <c r="J64" s="327"/>
      <c r="L64" s="327"/>
    </row>
    <row r="65" spans="6:12" x14ac:dyDescent="0.25">
      <c r="F65" s="327"/>
      <c r="H65" s="327"/>
      <c r="J65" s="327"/>
      <c r="L65" s="327"/>
    </row>
    <row r="66" spans="6:12" x14ac:dyDescent="0.25">
      <c r="F66" s="327"/>
      <c r="H66" s="327"/>
      <c r="J66" s="327"/>
      <c r="L66" s="327"/>
    </row>
    <row r="67" spans="6:12" x14ac:dyDescent="0.25">
      <c r="F67" s="327"/>
      <c r="H67" s="327"/>
      <c r="J67" s="327"/>
      <c r="L67" s="327"/>
    </row>
    <row r="68" spans="6:12" x14ac:dyDescent="0.25">
      <c r="F68" s="327"/>
      <c r="H68" s="327"/>
      <c r="J68" s="327"/>
      <c r="L68" s="327"/>
    </row>
    <row r="69" spans="6:12" x14ac:dyDescent="0.25">
      <c r="F69" s="327"/>
      <c r="H69" s="327"/>
      <c r="J69" s="327"/>
      <c r="L69" s="327"/>
    </row>
    <row r="70" spans="6:12" x14ac:dyDescent="0.25">
      <c r="F70" s="327"/>
      <c r="H70" s="327"/>
      <c r="J70" s="327"/>
      <c r="L70" s="327"/>
    </row>
    <row r="71" spans="6:12" x14ac:dyDescent="0.25">
      <c r="F71" s="327"/>
      <c r="H71" s="327"/>
      <c r="J71" s="327"/>
      <c r="L71" s="327"/>
    </row>
    <row r="72" spans="6:12" x14ac:dyDescent="0.25">
      <c r="F72" s="327"/>
      <c r="H72" s="327"/>
      <c r="J72" s="327"/>
      <c r="L72" s="327"/>
    </row>
    <row r="73" spans="6:12" x14ac:dyDescent="0.25">
      <c r="F73" s="327"/>
      <c r="H73" s="327"/>
      <c r="J73" s="327"/>
      <c r="L73" s="327"/>
    </row>
    <row r="74" spans="6:12" x14ac:dyDescent="0.25">
      <c r="F74" s="327"/>
      <c r="H74" s="327"/>
      <c r="J74" s="327"/>
      <c r="L74" s="327"/>
    </row>
    <row r="75" spans="6:12" x14ac:dyDescent="0.25">
      <c r="F75" s="327"/>
      <c r="H75" s="327"/>
      <c r="J75" s="327"/>
      <c r="L75" s="327"/>
    </row>
    <row r="76" spans="6:12" x14ac:dyDescent="0.25">
      <c r="F76" s="327"/>
      <c r="H76" s="327"/>
      <c r="J76" s="327"/>
      <c r="L76" s="327"/>
    </row>
    <row r="77" spans="6:12" x14ac:dyDescent="0.25">
      <c r="F77" s="327"/>
      <c r="H77" s="327"/>
      <c r="J77" s="327"/>
      <c r="L77" s="327"/>
    </row>
    <row r="78" spans="6:12" x14ac:dyDescent="0.25">
      <c r="F78" s="327"/>
      <c r="H78" s="327"/>
      <c r="J78" s="327"/>
      <c r="L78" s="327"/>
    </row>
    <row r="79" spans="6:12" x14ac:dyDescent="0.25">
      <c r="F79" s="327"/>
      <c r="H79" s="327"/>
      <c r="J79" s="327"/>
      <c r="L79" s="327"/>
    </row>
    <row r="80" spans="6:12" x14ac:dyDescent="0.25">
      <c r="F80" s="327"/>
      <c r="H80" s="327"/>
      <c r="J80" s="327"/>
      <c r="L80" s="327"/>
    </row>
    <row r="81" spans="6:12" x14ac:dyDescent="0.25">
      <c r="F81" s="327"/>
      <c r="H81" s="327"/>
      <c r="J81" s="327"/>
      <c r="L81" s="327"/>
    </row>
    <row r="82" spans="6:12" x14ac:dyDescent="0.25">
      <c r="F82" s="327"/>
      <c r="H82" s="327"/>
      <c r="J82" s="327"/>
      <c r="L82" s="327"/>
    </row>
    <row r="83" spans="6:12" x14ac:dyDescent="0.25">
      <c r="F83" s="327"/>
      <c r="H83" s="327"/>
      <c r="J83" s="327"/>
      <c r="L83" s="327"/>
    </row>
    <row r="84" spans="6:12" x14ac:dyDescent="0.25">
      <c r="F84" s="327"/>
      <c r="H84" s="327"/>
      <c r="J84" s="327"/>
      <c r="L84" s="327"/>
    </row>
    <row r="85" spans="6:12" x14ac:dyDescent="0.25">
      <c r="F85" s="327"/>
      <c r="H85" s="327"/>
      <c r="J85" s="327"/>
      <c r="L85" s="327"/>
    </row>
    <row r="86" spans="6:12" x14ac:dyDescent="0.25">
      <c r="F86" s="327"/>
      <c r="H86" s="327"/>
      <c r="J86" s="327"/>
      <c r="L86" s="327"/>
    </row>
    <row r="87" spans="6:12" x14ac:dyDescent="0.25">
      <c r="F87" s="327"/>
      <c r="H87" s="327"/>
      <c r="J87" s="327"/>
      <c r="L87" s="327"/>
    </row>
    <row r="88" spans="6:12" x14ac:dyDescent="0.25">
      <c r="F88" s="327"/>
      <c r="H88" s="327"/>
      <c r="J88" s="327"/>
      <c r="L88" s="327"/>
    </row>
    <row r="89" spans="6:12" x14ac:dyDescent="0.25">
      <c r="F89" s="327"/>
      <c r="H89" s="327"/>
      <c r="J89" s="327"/>
      <c r="L89" s="327"/>
    </row>
    <row r="90" spans="6:12" x14ac:dyDescent="0.25">
      <c r="F90" s="327"/>
      <c r="H90" s="327"/>
      <c r="J90" s="327"/>
      <c r="L90" s="327"/>
    </row>
    <row r="91" spans="6:12" x14ac:dyDescent="0.25">
      <c r="F91" s="327"/>
      <c r="H91" s="327"/>
      <c r="J91" s="327"/>
      <c r="L91" s="327"/>
    </row>
    <row r="92" spans="6:12" x14ac:dyDescent="0.25">
      <c r="F92" s="327"/>
      <c r="H92" s="327"/>
      <c r="J92" s="327"/>
      <c r="L92" s="327"/>
    </row>
    <row r="93" spans="6:12" x14ac:dyDescent="0.25">
      <c r="F93" s="327"/>
      <c r="H93" s="327"/>
      <c r="J93" s="327"/>
      <c r="L93" s="327"/>
    </row>
    <row r="94" spans="6:12" x14ac:dyDescent="0.25">
      <c r="F94" s="327"/>
      <c r="H94" s="327"/>
      <c r="J94" s="327"/>
      <c r="L94" s="327"/>
    </row>
    <row r="95" spans="6:12" x14ac:dyDescent="0.25">
      <c r="F95" s="327"/>
      <c r="H95" s="327"/>
      <c r="J95" s="327"/>
      <c r="L95" s="327"/>
    </row>
    <row r="96" spans="6:12" x14ac:dyDescent="0.25">
      <c r="F96" s="327"/>
      <c r="H96" s="327"/>
      <c r="J96" s="327"/>
      <c r="L96" s="327"/>
    </row>
    <row r="97" spans="6:12" x14ac:dyDescent="0.25">
      <c r="F97" s="327"/>
      <c r="H97" s="327"/>
      <c r="J97" s="327"/>
      <c r="L97" s="327"/>
    </row>
    <row r="98" spans="6:12" x14ac:dyDescent="0.25">
      <c r="F98" s="327"/>
      <c r="H98" s="327"/>
      <c r="J98" s="327"/>
      <c r="L98" s="327"/>
    </row>
    <row r="99" spans="6:12" x14ac:dyDescent="0.25">
      <c r="F99" s="327"/>
      <c r="H99" s="327"/>
      <c r="J99" s="327"/>
      <c r="L99" s="327"/>
    </row>
    <row r="100" spans="6:12" x14ac:dyDescent="0.25">
      <c r="F100" s="327"/>
      <c r="H100" s="327"/>
      <c r="J100" s="327"/>
      <c r="L100" s="327"/>
    </row>
    <row r="101" spans="6:12" x14ac:dyDescent="0.25">
      <c r="F101" s="327"/>
      <c r="H101" s="327"/>
      <c r="J101" s="327"/>
      <c r="L101" s="327"/>
    </row>
    <row r="102" spans="6:12" x14ac:dyDescent="0.25">
      <c r="F102" s="327"/>
      <c r="H102" s="327"/>
      <c r="J102" s="327"/>
      <c r="L102" s="327"/>
    </row>
    <row r="103" spans="6:12" x14ac:dyDescent="0.25">
      <c r="F103" s="327"/>
      <c r="H103" s="327"/>
      <c r="J103" s="327"/>
      <c r="L103" s="327"/>
    </row>
  </sheetData>
  <mergeCells count="10">
    <mergeCell ref="E53:F53"/>
    <mergeCell ref="E2:F2"/>
    <mergeCell ref="M2:N2"/>
    <mergeCell ref="M53:N53"/>
    <mergeCell ref="G2:H2"/>
    <mergeCell ref="G53:H53"/>
    <mergeCell ref="I2:J2"/>
    <mergeCell ref="I53:J53"/>
    <mergeCell ref="K2:L2"/>
    <mergeCell ref="K53:L53"/>
  </mergeCells>
  <dataValidations count="1">
    <dataValidation allowBlank="1" showErrorMessage="1" sqref="D4:D52" xr:uid="{00000000-0002-0000-05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A28" workbookViewId="0">
      <selection activeCell="L6" sqref="L6"/>
    </sheetView>
  </sheetViews>
  <sheetFormatPr defaultRowHeight="13.2" x14ac:dyDescent="0.25"/>
  <cols>
    <col min="1" max="1" width="36.21875" bestFit="1" customWidth="1"/>
    <col min="2" max="2" width="11.5546875" customWidth="1"/>
    <col min="4" max="4" width="14.77734375" customWidth="1"/>
    <col min="5" max="6" width="14.21875" bestFit="1" customWidth="1"/>
    <col min="7" max="7" width="16.21875" bestFit="1" customWidth="1"/>
    <col min="8" max="8" width="12.21875" bestFit="1" customWidth="1"/>
    <col min="9" max="9" width="13.77734375" bestFit="1" customWidth="1"/>
    <col min="10" max="10" width="10.77734375" bestFit="1" customWidth="1"/>
    <col min="11" max="11" width="13.44140625" bestFit="1" customWidth="1"/>
  </cols>
  <sheetData>
    <row r="1" spans="1:11" ht="14.4" x14ac:dyDescent="0.3">
      <c r="A1" s="680" t="s">
        <v>3180</v>
      </c>
      <c r="B1" s="30" t="s">
        <v>3192</v>
      </c>
      <c r="F1" t="s">
        <v>3188</v>
      </c>
      <c r="G1" s="673" t="s">
        <v>3145</v>
      </c>
      <c r="I1" t="s">
        <v>3197</v>
      </c>
      <c r="J1" s="875" t="s">
        <v>3196</v>
      </c>
      <c r="K1" s="875"/>
    </row>
    <row r="2" spans="1:11" x14ac:dyDescent="0.25">
      <c r="E2" s="689" t="s">
        <v>3185</v>
      </c>
      <c r="F2" t="s">
        <v>3186</v>
      </c>
      <c r="G2" t="s">
        <v>3187</v>
      </c>
      <c r="H2" t="s">
        <v>3189</v>
      </c>
      <c r="I2" t="s">
        <v>3190</v>
      </c>
      <c r="J2" t="s">
        <v>3193</v>
      </c>
      <c r="K2" t="s">
        <v>3195</v>
      </c>
    </row>
    <row r="3" spans="1:11" ht="14.4" x14ac:dyDescent="0.3">
      <c r="A3" s="681" t="s">
        <v>3194</v>
      </c>
      <c r="B3" s="682" t="s">
        <v>3181</v>
      </c>
      <c r="C3" s="682"/>
      <c r="D3" s="690" t="s">
        <v>3194</v>
      </c>
      <c r="E3" s="692">
        <f>IF(I3=$I$1, F3, IF(I3=$J$2, F3+(F3*J3), K3))</f>
        <v>0</v>
      </c>
      <c r="F3" s="139">
        <f>Input!J22</f>
        <v>2522232167.2240005</v>
      </c>
      <c r="I3" s="688" t="s">
        <v>3191</v>
      </c>
      <c r="J3" s="693">
        <v>0.01</v>
      </c>
      <c r="K3" s="694"/>
    </row>
    <row r="4" spans="1:11" ht="14.4" x14ac:dyDescent="0.3">
      <c r="A4" s="682"/>
      <c r="B4" s="682" t="s">
        <v>3182</v>
      </c>
      <c r="C4" s="682"/>
      <c r="D4" s="683"/>
      <c r="E4" s="692">
        <f t="shared" ref="E4:E7" si="0">IF(I4=$I$1, F4, IF(I4=$J$2, F4+(F4*J4), K4))</f>
        <v>0</v>
      </c>
      <c r="I4" s="688" t="s">
        <v>3197</v>
      </c>
      <c r="J4" s="693">
        <v>0</v>
      </c>
      <c r="K4" s="694"/>
    </row>
    <row r="5" spans="1:11" ht="14.4" x14ac:dyDescent="0.3">
      <c r="A5" s="682"/>
      <c r="B5" s="682" t="s">
        <v>3183</v>
      </c>
      <c r="C5" s="682"/>
      <c r="D5" s="683"/>
      <c r="E5" s="692">
        <f t="shared" si="0"/>
        <v>0</v>
      </c>
      <c r="I5" s="688" t="s">
        <v>3197</v>
      </c>
      <c r="J5" s="693">
        <v>0</v>
      </c>
      <c r="K5" s="694"/>
    </row>
    <row r="6" spans="1:11" x14ac:dyDescent="0.25">
      <c r="A6" s="681" t="s">
        <v>10</v>
      </c>
      <c r="B6" s="682" t="s">
        <v>3181</v>
      </c>
      <c r="C6" s="682"/>
      <c r="D6" s="682"/>
      <c r="E6" s="692">
        <f t="shared" si="0"/>
        <v>-1826437687.8247502</v>
      </c>
      <c r="F6" s="139">
        <f>Input!J24</f>
        <v>-1826437687.8247502</v>
      </c>
      <c r="I6" s="688" t="s">
        <v>3197</v>
      </c>
      <c r="J6" s="693">
        <v>0</v>
      </c>
      <c r="K6" s="694"/>
    </row>
    <row r="7" spans="1:11" x14ac:dyDescent="0.25">
      <c r="A7" s="681" t="s">
        <v>3080</v>
      </c>
      <c r="B7" s="682"/>
      <c r="C7" s="682"/>
      <c r="D7" s="682"/>
      <c r="E7" s="692">
        <f t="shared" si="0"/>
        <v>-98858362.812499985</v>
      </c>
      <c r="F7" s="139">
        <f>Input!J26</f>
        <v>-98858362.812499985</v>
      </c>
      <c r="I7" s="688" t="s">
        <v>3197</v>
      </c>
      <c r="J7" s="693">
        <v>0</v>
      </c>
      <c r="K7" s="694"/>
    </row>
    <row r="8" spans="1:11" x14ac:dyDescent="0.25">
      <c r="A8" s="684"/>
      <c r="E8" s="692"/>
      <c r="J8" s="693"/>
      <c r="K8" s="694"/>
    </row>
    <row r="9" spans="1:11" x14ac:dyDescent="0.25">
      <c r="A9" s="685" t="s">
        <v>12</v>
      </c>
      <c r="B9" t="s">
        <v>3184</v>
      </c>
      <c r="E9" s="692">
        <f>E6+E7+IF(D3=A3,E3,E4*E5)</f>
        <v>-1925296050.6372502</v>
      </c>
      <c r="J9" s="693"/>
      <c r="K9" s="694"/>
    </row>
    <row r="10" spans="1:11" x14ac:dyDescent="0.25">
      <c r="A10" s="681" t="s">
        <v>3095</v>
      </c>
      <c r="B10" s="682"/>
      <c r="C10" s="682"/>
      <c r="D10" s="682"/>
      <c r="E10" s="692">
        <f t="shared" ref="E10:E15" si="1">IF(I10=$I$1, F10, IF(I10=$J$2, F10+(F10*J10), K10))</f>
        <v>-5652712.2300000014</v>
      </c>
      <c r="F10" s="139">
        <f>Input!J31</f>
        <v>-5652712.2300000014</v>
      </c>
      <c r="I10" s="688" t="s">
        <v>3197</v>
      </c>
      <c r="J10" s="693">
        <v>0</v>
      </c>
      <c r="K10" s="694"/>
    </row>
    <row r="11" spans="1:11" x14ac:dyDescent="0.25">
      <c r="A11" s="681" t="s">
        <v>13</v>
      </c>
      <c r="B11" s="682"/>
      <c r="C11" s="682"/>
      <c r="D11" s="682"/>
      <c r="E11" s="692">
        <f t="shared" si="1"/>
        <v>-200833005.09600002</v>
      </c>
      <c r="F11" s="139">
        <f>Input!J33</f>
        <v>-200833005.09600002</v>
      </c>
      <c r="I11" s="688" t="s">
        <v>3197</v>
      </c>
      <c r="J11" s="693">
        <v>0</v>
      </c>
      <c r="K11" s="694"/>
    </row>
    <row r="12" spans="1:11" x14ac:dyDescent="0.25">
      <c r="A12" s="681" t="s">
        <v>14</v>
      </c>
      <c r="B12" s="682"/>
      <c r="C12" s="682"/>
      <c r="D12" s="682"/>
      <c r="E12" s="692">
        <f t="shared" si="1"/>
        <v>-2936450</v>
      </c>
      <c r="F12" s="139">
        <f>Input!J37</f>
        <v>-2936450</v>
      </c>
      <c r="I12" s="688" t="s">
        <v>3197</v>
      </c>
      <c r="J12" s="693">
        <v>0</v>
      </c>
      <c r="K12" s="694"/>
    </row>
    <row r="13" spans="1:11" x14ac:dyDescent="0.25">
      <c r="A13" s="681" t="s">
        <v>3094</v>
      </c>
      <c r="B13" s="682"/>
      <c r="C13" s="682"/>
      <c r="D13" s="682"/>
      <c r="E13" s="692">
        <f t="shared" si="1"/>
        <v>-90000000</v>
      </c>
      <c r="F13" s="139">
        <f>Input!J35</f>
        <v>-90000000</v>
      </c>
      <c r="I13" s="688" t="s">
        <v>3197</v>
      </c>
      <c r="J13" s="693">
        <v>0</v>
      </c>
      <c r="K13" s="694"/>
    </row>
    <row r="14" spans="1:11" x14ac:dyDescent="0.25">
      <c r="A14" s="681" t="s">
        <v>1773</v>
      </c>
      <c r="B14" s="682"/>
      <c r="C14" s="682"/>
      <c r="D14" s="682"/>
      <c r="E14" s="692">
        <f t="shared" si="1"/>
        <v>0</v>
      </c>
      <c r="F14" s="139">
        <f>Input!J39</f>
        <v>0</v>
      </c>
      <c r="I14" s="688" t="s">
        <v>3197</v>
      </c>
      <c r="J14" s="693">
        <v>0</v>
      </c>
      <c r="K14" s="694"/>
    </row>
    <row r="15" spans="1:11" x14ac:dyDescent="0.25">
      <c r="A15" s="681" t="s">
        <v>15</v>
      </c>
      <c r="B15" s="682"/>
      <c r="C15" s="682"/>
      <c r="D15" s="682"/>
      <c r="E15" s="692">
        <f t="shared" si="1"/>
        <v>-2186679.56</v>
      </c>
      <c r="F15" s="139">
        <f>Input!J41</f>
        <v>-2186679.56</v>
      </c>
      <c r="I15" s="688" t="s">
        <v>3197</v>
      </c>
      <c r="J15" s="693">
        <v>0</v>
      </c>
      <c r="K15" s="694"/>
    </row>
    <row r="16" spans="1:11" x14ac:dyDescent="0.25">
      <c r="A16" s="684"/>
      <c r="E16" s="692"/>
      <c r="J16" s="693"/>
      <c r="K16" s="694"/>
    </row>
    <row r="17" spans="1:11" x14ac:dyDescent="0.25">
      <c r="A17" s="685" t="s">
        <v>16</v>
      </c>
      <c r="B17" t="s">
        <v>3184</v>
      </c>
      <c r="E17" s="692">
        <f>SUM(E9:E15)</f>
        <v>-2226904897.5232501</v>
      </c>
      <c r="J17" s="693"/>
      <c r="K17" s="694"/>
    </row>
    <row r="18" spans="1:11" x14ac:dyDescent="0.25">
      <c r="A18" s="681" t="s">
        <v>1774</v>
      </c>
      <c r="B18" s="682"/>
      <c r="C18" s="682"/>
      <c r="D18" s="682"/>
      <c r="E18" s="692">
        <f t="shared" ref="E18:E24" si="2">IF(I18=$I$1, F18, IF(I18=$J$2, F18+(F18*J18), K18))</f>
        <v>-15553231.200000001</v>
      </c>
      <c r="F18" s="139">
        <f>Input!J46</f>
        <v>-15553231.200000001</v>
      </c>
      <c r="I18" s="688" t="s">
        <v>3197</v>
      </c>
      <c r="J18" s="693">
        <v>0</v>
      </c>
      <c r="K18" s="694"/>
    </row>
    <row r="19" spans="1:11" x14ac:dyDescent="0.25">
      <c r="A19" s="681" t="s">
        <v>17</v>
      </c>
      <c r="B19" s="682"/>
      <c r="C19" s="682"/>
      <c r="D19" s="682"/>
      <c r="E19" s="692">
        <f t="shared" si="2"/>
        <v>0</v>
      </c>
      <c r="F19" s="139">
        <f>Input!J48</f>
        <v>0</v>
      </c>
      <c r="I19" s="688" t="s">
        <v>3197</v>
      </c>
      <c r="J19" s="693">
        <v>0</v>
      </c>
      <c r="K19" s="694"/>
    </row>
    <row r="20" spans="1:11" x14ac:dyDescent="0.25">
      <c r="A20" s="681" t="s">
        <v>18</v>
      </c>
      <c r="B20" s="682"/>
      <c r="C20" s="682"/>
      <c r="D20" s="682"/>
      <c r="E20" s="692">
        <f t="shared" si="2"/>
        <v>48180445</v>
      </c>
      <c r="F20" s="139">
        <f>Input!J50</f>
        <v>48180445</v>
      </c>
      <c r="I20" s="688" t="s">
        <v>3197</v>
      </c>
      <c r="J20" s="693">
        <v>0</v>
      </c>
      <c r="K20" s="694"/>
    </row>
    <row r="21" spans="1:11" x14ac:dyDescent="0.25">
      <c r="A21" s="681" t="s">
        <v>19</v>
      </c>
      <c r="B21" s="682"/>
      <c r="C21" s="682"/>
      <c r="D21" s="682"/>
      <c r="E21" s="692">
        <f t="shared" si="2"/>
        <v>54202720</v>
      </c>
      <c r="F21" s="139">
        <f>Input!J52</f>
        <v>54202720</v>
      </c>
      <c r="I21" s="688" t="s">
        <v>3197</v>
      </c>
      <c r="J21" s="693">
        <v>0</v>
      </c>
      <c r="K21" s="694"/>
    </row>
    <row r="22" spans="1:11" x14ac:dyDescent="0.25">
      <c r="A22" s="681" t="s">
        <v>20</v>
      </c>
      <c r="B22" s="682"/>
      <c r="C22" s="682"/>
      <c r="D22" s="682"/>
      <c r="E22" s="692">
        <f t="shared" si="2"/>
        <v>0</v>
      </c>
      <c r="F22" s="139">
        <f>Input!J54</f>
        <v>0</v>
      </c>
      <c r="I22" s="688" t="s">
        <v>3197</v>
      </c>
      <c r="J22" s="693">
        <v>0</v>
      </c>
      <c r="K22" s="694"/>
    </row>
    <row r="23" spans="1:11" x14ac:dyDescent="0.25">
      <c r="A23" s="681" t="s">
        <v>21</v>
      </c>
      <c r="B23" s="682"/>
      <c r="C23" s="682"/>
      <c r="D23" s="682"/>
      <c r="E23" s="692">
        <f t="shared" si="2"/>
        <v>122822</v>
      </c>
      <c r="F23" s="139">
        <f>Input!J56</f>
        <v>122822</v>
      </c>
      <c r="I23" s="688" t="s">
        <v>3197</v>
      </c>
      <c r="J23" s="693">
        <v>0</v>
      </c>
      <c r="K23" s="694"/>
    </row>
    <row r="24" spans="1:11" x14ac:dyDescent="0.25">
      <c r="A24" s="681" t="s">
        <v>22</v>
      </c>
      <c r="B24" s="682"/>
      <c r="C24" s="682"/>
      <c r="D24" s="682"/>
      <c r="E24" s="692">
        <f t="shared" si="2"/>
        <v>0</v>
      </c>
      <c r="F24" s="139">
        <f>Input!J58</f>
        <v>0</v>
      </c>
      <c r="I24" s="688" t="s">
        <v>3197</v>
      </c>
      <c r="J24" s="693">
        <v>0</v>
      </c>
      <c r="K24" s="694"/>
    </row>
    <row r="25" spans="1:11" x14ac:dyDescent="0.25">
      <c r="A25" s="684"/>
      <c r="E25" s="692"/>
      <c r="J25" s="693"/>
      <c r="K25" s="694"/>
    </row>
    <row r="26" spans="1:11" x14ac:dyDescent="0.25">
      <c r="A26" s="685" t="s">
        <v>23</v>
      </c>
      <c r="B26" t="s">
        <v>3184</v>
      </c>
      <c r="E26" s="692">
        <f>SUM(E17:E24)</f>
        <v>-2139952141.7232499</v>
      </c>
      <c r="J26" s="693"/>
      <c r="K26" s="694"/>
    </row>
    <row r="27" spans="1:11" x14ac:dyDescent="0.25">
      <c r="A27" s="685"/>
      <c r="E27" s="692"/>
      <c r="G27" s="691" t="s">
        <v>3201</v>
      </c>
      <c r="I27" s="875" t="s">
        <v>3200</v>
      </c>
      <c r="J27" s="875"/>
      <c r="K27" s="694"/>
    </row>
    <row r="28" spans="1:11" x14ac:dyDescent="0.25">
      <c r="A28" s="681" t="s">
        <v>24</v>
      </c>
      <c r="B28" s="682" t="s">
        <v>3199</v>
      </c>
      <c r="C28" s="682"/>
      <c r="D28" s="682"/>
      <c r="E28" s="692">
        <f>IF(I28=$I$1, E26*(Input!J63/Input!J61), IF(I28=$J$2, E26*-J28, K28))</f>
        <v>481489231.88773137</v>
      </c>
      <c r="F28" s="139">
        <f>Input!J63</f>
        <v>-86013005.737668827</v>
      </c>
      <c r="G28" s="697">
        <f>Input!J63/Input!J61</f>
        <v>-0.22500000000000006</v>
      </c>
      <c r="I28" s="688" t="s">
        <v>3197</v>
      </c>
      <c r="J28" s="693">
        <v>0</v>
      </c>
      <c r="K28" s="694"/>
    </row>
    <row r="29" spans="1:11" x14ac:dyDescent="0.25">
      <c r="A29" s="684"/>
      <c r="E29" s="692"/>
      <c r="J29" s="693"/>
      <c r="K29" s="694"/>
    </row>
    <row r="30" spans="1:11" x14ac:dyDescent="0.25">
      <c r="A30" s="685" t="s">
        <v>27</v>
      </c>
      <c r="B30" t="s">
        <v>3184</v>
      </c>
      <c r="E30" s="692">
        <f>E28+E26</f>
        <v>-1658462909.8355186</v>
      </c>
      <c r="J30" s="693"/>
      <c r="K30" s="694"/>
    </row>
    <row r="31" spans="1:11" x14ac:dyDescent="0.25">
      <c r="A31" s="681" t="s">
        <v>28</v>
      </c>
      <c r="B31" s="682"/>
      <c r="C31" s="682"/>
      <c r="D31" s="682"/>
      <c r="E31" s="692">
        <f t="shared" ref="E31:E34" si="3">IF(I31=$I$1, F31, IF(I31=$J$2, F31+(F31*J31), K31))</f>
        <v>0</v>
      </c>
      <c r="F31" s="139">
        <f>Input!J72</f>
        <v>0</v>
      </c>
      <c r="I31" s="688" t="s">
        <v>3197</v>
      </c>
      <c r="J31" s="693">
        <v>0</v>
      </c>
      <c r="K31" s="694"/>
    </row>
    <row r="32" spans="1:11" x14ac:dyDescent="0.25">
      <c r="A32" s="681" t="s">
        <v>29</v>
      </c>
      <c r="B32" s="682"/>
      <c r="C32" s="682"/>
      <c r="D32" s="682"/>
      <c r="E32" s="692">
        <f t="shared" si="3"/>
        <v>0</v>
      </c>
      <c r="F32" s="139">
        <f>Input!J74</f>
        <v>0</v>
      </c>
      <c r="I32" s="688" t="s">
        <v>3197</v>
      </c>
      <c r="J32" s="693">
        <v>0</v>
      </c>
      <c r="K32" s="694"/>
    </row>
    <row r="33" spans="1:11" x14ac:dyDescent="0.25">
      <c r="A33" s="681" t="s">
        <v>30</v>
      </c>
      <c r="B33" s="682"/>
      <c r="C33" s="682"/>
      <c r="D33" s="682"/>
      <c r="E33" s="692">
        <f t="shared" si="3"/>
        <v>0</v>
      </c>
      <c r="F33" s="139">
        <f>Input!J76</f>
        <v>0</v>
      </c>
      <c r="I33" s="688" t="s">
        <v>3197</v>
      </c>
      <c r="J33" s="693">
        <v>0</v>
      </c>
      <c r="K33" s="694"/>
    </row>
    <row r="34" spans="1:11" x14ac:dyDescent="0.25">
      <c r="A34" s="681" t="s">
        <v>30</v>
      </c>
      <c r="B34" s="682"/>
      <c r="C34" s="682"/>
      <c r="D34" s="682"/>
      <c r="E34" s="692">
        <f t="shared" si="3"/>
        <v>0</v>
      </c>
      <c r="F34" s="139">
        <f>Input!J78</f>
        <v>0</v>
      </c>
      <c r="I34" s="688" t="s">
        <v>3197</v>
      </c>
      <c r="J34" s="693">
        <v>0</v>
      </c>
      <c r="K34" s="694"/>
    </row>
    <row r="35" spans="1:11" x14ac:dyDescent="0.25">
      <c r="A35" s="684"/>
      <c r="E35" s="692"/>
    </row>
    <row r="36" spans="1:11" x14ac:dyDescent="0.25">
      <c r="A36" s="686" t="s">
        <v>31</v>
      </c>
      <c r="B36" s="687" t="s">
        <v>3184</v>
      </c>
      <c r="C36" s="687"/>
      <c r="D36" s="687"/>
      <c r="E36" s="692">
        <f>SUM(E30:E34)</f>
        <v>-1658462909.8355186</v>
      </c>
      <c r="F36" s="695">
        <f>(E36-Input!J81)/Input!J81</f>
        <v>-6.5978654362600224</v>
      </c>
    </row>
    <row r="37" spans="1:11" x14ac:dyDescent="0.25">
      <c r="F37" s="696" t="s">
        <v>3198</v>
      </c>
    </row>
  </sheetData>
  <mergeCells count="2">
    <mergeCell ref="J1:K1"/>
    <mergeCell ref="I27:J27"/>
  </mergeCells>
  <dataValidations count="4">
    <dataValidation allowBlank="1" showErrorMessage="1" sqref="A3 A6:A36" xr:uid="{00000000-0002-0000-0600-000000000000}"/>
    <dataValidation type="list" allowBlank="1" showInputMessage="1" showErrorMessage="1" sqref="G1" xr:uid="{00000000-0002-0000-0600-000001000000}">
      <formula1>"US,Europe,Japan,Emerging Markets,Just China, Just India,Global"</formula1>
    </dataValidation>
    <dataValidation type="list" allowBlank="1" showInputMessage="1" showErrorMessage="1" sqref="D3" xr:uid="{00000000-0002-0000-0600-000002000000}">
      <formula1>"Net Sales, Breakdown"</formula1>
    </dataValidation>
    <dataValidation type="list" allowBlank="1" showInputMessage="1" showErrorMessage="1" sqref="I3:I7 I10:I15 I18:I24 I28 I31:I34" xr:uid="{00000000-0002-0000-0600-000003000000}">
      <formula1>"Numbers, Percentage, No Change"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64"/>
  <sheetViews>
    <sheetView topLeftCell="C1" workbookViewId="0">
      <selection activeCell="E67" sqref="E67"/>
    </sheetView>
  </sheetViews>
  <sheetFormatPr defaultColWidth="8.77734375" defaultRowHeight="14.4" x14ac:dyDescent="0.3"/>
  <cols>
    <col min="1" max="1" width="57.21875" style="657" bestFit="1" customWidth="1"/>
    <col min="2" max="2" width="44.21875" style="657" bestFit="1" customWidth="1"/>
    <col min="3" max="3" width="30.44140625" style="657" bestFit="1" customWidth="1"/>
    <col min="4" max="4" width="34.77734375" style="657" bestFit="1" customWidth="1"/>
    <col min="5" max="5" width="48.77734375" style="657" bestFit="1" customWidth="1"/>
    <col min="6" max="6" width="55.77734375" style="657" bestFit="1" customWidth="1"/>
    <col min="7" max="7" width="9" style="657" bestFit="1" customWidth="1"/>
    <col min="8" max="8" width="10.21875" style="657" bestFit="1" customWidth="1"/>
    <col min="9" max="9" width="7.44140625" style="657" bestFit="1" customWidth="1"/>
    <col min="10" max="10" width="6.21875" style="657" bestFit="1" customWidth="1"/>
    <col min="11" max="11" width="10.21875" style="657" bestFit="1" customWidth="1"/>
    <col min="12" max="12" width="9" style="657" bestFit="1" customWidth="1"/>
    <col min="13" max="13" width="10.21875" style="657" bestFit="1" customWidth="1"/>
    <col min="14" max="16384" width="8.77734375" style="657"/>
  </cols>
  <sheetData>
    <row r="2" spans="1:7" x14ac:dyDescent="0.3">
      <c r="A2" s="876" t="s">
        <v>3127</v>
      </c>
      <c r="B2" s="876"/>
      <c r="C2" s="876"/>
      <c r="D2" s="876"/>
      <c r="E2" s="876"/>
      <c r="F2" s="665"/>
      <c r="G2" s="665"/>
    </row>
    <row r="3" spans="1:7" x14ac:dyDescent="0.3">
      <c r="A3" s="876"/>
      <c r="B3" s="876"/>
      <c r="C3" s="876"/>
      <c r="D3" s="876"/>
      <c r="E3" s="876"/>
      <c r="F3" s="665"/>
      <c r="G3" s="665"/>
    </row>
    <row r="4" spans="1:7" x14ac:dyDescent="0.3">
      <c r="A4" s="876"/>
      <c r="B4" s="876"/>
      <c r="C4" s="876"/>
      <c r="D4" s="876"/>
      <c r="E4" s="876"/>
      <c r="F4" s="665"/>
      <c r="G4" s="665"/>
    </row>
    <row r="5" spans="1:7" x14ac:dyDescent="0.3">
      <c r="A5" s="876"/>
      <c r="B5" s="876"/>
      <c r="C5" s="876"/>
      <c r="D5" s="876"/>
      <c r="E5" s="876"/>
      <c r="F5" s="665"/>
      <c r="G5" s="665"/>
    </row>
    <row r="6" spans="1:7" x14ac:dyDescent="0.3">
      <c r="A6" s="664" t="s">
        <v>208</v>
      </c>
      <c r="B6" s="664" t="s">
        <v>3140</v>
      </c>
      <c r="C6" s="664" t="s">
        <v>3142</v>
      </c>
      <c r="D6" s="664" t="s">
        <v>3105</v>
      </c>
      <c r="E6" s="877" t="s">
        <v>3130</v>
      </c>
    </row>
    <row r="7" spans="1:7" x14ac:dyDescent="0.3">
      <c r="A7" s="657" t="s">
        <v>3138</v>
      </c>
      <c r="B7" s="657" t="s">
        <v>3121</v>
      </c>
      <c r="C7" s="657" t="s">
        <v>3114</v>
      </c>
      <c r="D7" s="657" t="s">
        <v>3102</v>
      </c>
      <c r="E7" s="877"/>
    </row>
    <row r="8" spans="1:7" x14ac:dyDescent="0.3">
      <c r="A8" s="657" t="s">
        <v>3139</v>
      </c>
      <c r="B8" s="657" t="s">
        <v>3141</v>
      </c>
      <c r="C8" s="657" t="s">
        <v>3111</v>
      </c>
      <c r="D8" s="657" t="s">
        <v>3100</v>
      </c>
      <c r="E8" s="877"/>
    </row>
    <row r="9" spans="1:7" x14ac:dyDescent="0.3">
      <c r="A9" s="666" t="s">
        <v>3899</v>
      </c>
      <c r="B9" s="657" t="s">
        <v>3118</v>
      </c>
      <c r="C9" s="657" t="s">
        <v>3144</v>
      </c>
      <c r="D9" s="657" t="s">
        <v>3098</v>
      </c>
      <c r="E9" s="877"/>
    </row>
    <row r="10" spans="1:7" x14ac:dyDescent="0.3">
      <c r="A10" s="666"/>
      <c r="B10" s="657" t="s">
        <v>3116</v>
      </c>
      <c r="C10" s="657" t="s">
        <v>3107</v>
      </c>
      <c r="D10" s="666"/>
    </row>
    <row r="11" spans="1:7" x14ac:dyDescent="0.3">
      <c r="A11" s="666"/>
      <c r="B11" s="666"/>
      <c r="C11" s="666"/>
      <c r="D11" s="666"/>
    </row>
    <row r="12" spans="1:7" x14ac:dyDescent="0.3">
      <c r="A12" s="666"/>
      <c r="B12" s="666"/>
      <c r="C12" s="666"/>
      <c r="D12" s="666"/>
    </row>
    <row r="13" spans="1:7" x14ac:dyDescent="0.3">
      <c r="A13" s="669" t="s">
        <v>3128</v>
      </c>
      <c r="B13" s="673">
        <v>2014</v>
      </c>
    </row>
    <row r="14" spans="1:7" x14ac:dyDescent="0.3">
      <c r="A14" s="669" t="s">
        <v>3137</v>
      </c>
      <c r="B14" s="673" t="s">
        <v>3145</v>
      </c>
    </row>
    <row r="16" spans="1:7" x14ac:dyDescent="0.3">
      <c r="A16" s="762"/>
    </row>
    <row r="17" spans="1:6" x14ac:dyDescent="0.3">
      <c r="A17" s="661" t="s">
        <v>208</v>
      </c>
      <c r="B17" s="659" t="s">
        <v>3126</v>
      </c>
      <c r="C17" s="659" t="s">
        <v>198</v>
      </c>
      <c r="D17" s="659" t="s">
        <v>3129</v>
      </c>
      <c r="E17" s="659" t="s">
        <v>3125</v>
      </c>
      <c r="F17" s="659" t="s">
        <v>3122</v>
      </c>
    </row>
    <row r="18" spans="1:6" x14ac:dyDescent="0.3">
      <c r="A18" s="657" t="s">
        <v>3138</v>
      </c>
      <c r="B18" s="657" t="s">
        <v>3124</v>
      </c>
      <c r="C18" s="671">
        <f>IF($B$13=2014,Ratios!D23,IF($B$13=2015,Ratios!E23,IF($B$13=2016,Ratios!F23,IF($B$13=2017,Ratios!G23,IF($B$13=2018,Ratios!H23,IF($B$13=2019,Ratios!I23,0))))))</f>
        <v>1.2517930614993371</v>
      </c>
      <c r="D18" s="671">
        <v>1</v>
      </c>
      <c r="E18" s="657" t="s">
        <v>3132</v>
      </c>
    </row>
    <row r="19" spans="1:6" x14ac:dyDescent="0.3">
      <c r="A19" s="657" t="s">
        <v>3139</v>
      </c>
      <c r="B19" s="657" t="s">
        <v>3123</v>
      </c>
      <c r="C19" s="671">
        <f>IF($B$13=2014,Ratios!D24,IF($B$13=2015,Ratios!E24,IF($B$13=2016,Ratios!F24,IF($B$13=2017,Ratios!G24,IF($B$13=2018,Ratios!H24,IF($B$13=2019,Ratios!I24,0))))))</f>
        <v>1.1442388954806786</v>
      </c>
      <c r="D19" s="671">
        <v>1</v>
      </c>
      <c r="E19" s="657" t="s">
        <v>3132</v>
      </c>
    </row>
    <row r="20" spans="1:6" x14ac:dyDescent="0.3">
      <c r="A20" s="657" t="s">
        <v>3899</v>
      </c>
      <c r="B20" s="657" t="s">
        <v>3900</v>
      </c>
      <c r="C20" s="671">
        <f>IF($B$13=2014,Ratios!D25,IF($B$13=2015,Ratios!E25,IF($B$13=2016,Ratios!F25,IF($B$13=2017,Ratios!G25,IF($B$13=2018,Ratios!H25,IF($B$13=2019,Ratios!I25,0))))))</f>
        <v>0.80666147754704243</v>
      </c>
      <c r="D20" s="671">
        <v>0.5</v>
      </c>
      <c r="E20" s="657" t="s">
        <v>3132</v>
      </c>
    </row>
    <row r="21" spans="1:6" x14ac:dyDescent="0.3">
      <c r="A21" s="661" t="s">
        <v>3140</v>
      </c>
      <c r="B21" s="659"/>
      <c r="C21" s="659"/>
      <c r="D21" s="659"/>
      <c r="E21" s="659" t="s">
        <v>3115</v>
      </c>
      <c r="F21" s="659" t="s">
        <v>3122</v>
      </c>
    </row>
    <row r="22" spans="1:6" x14ac:dyDescent="0.3">
      <c r="A22" s="657" t="s">
        <v>3121</v>
      </c>
      <c r="B22" s="657" t="s">
        <v>3120</v>
      </c>
      <c r="C22" s="670">
        <f>IF($B$13=2014,Ratios!D9,IF($B$13=2015,Ratios!E9,IF($B$13=2016,Ratios!F9,IF($B$13=2017,Ratios!G9,IF($B$13=2018,Ratios!H9,IF($B$13=2019,Ratios!I9,0))))))</f>
        <v>0.17210268035235976</v>
      </c>
      <c r="D22" s="670"/>
      <c r="E22" s="657" t="s">
        <v>3133</v>
      </c>
    </row>
    <row r="23" spans="1:6" x14ac:dyDescent="0.3">
      <c r="A23" s="657" t="s">
        <v>3141</v>
      </c>
      <c r="B23" s="657" t="s">
        <v>3119</v>
      </c>
      <c r="C23" s="670">
        <f>IF($B$13=2014,Ratios!D12,IF($B$13=2015,Ratios!E12,IF($B$13=2016,Ratios!F12,IF($B$13=2017,Ratios!G12,IF($B$13=2018,Ratios!H12,IF($B$13=2019,Ratios!I12,0))))))</f>
        <v>0.13979683884417046</v>
      </c>
      <c r="D23" s="670"/>
      <c r="E23" s="657" t="s">
        <v>3133</v>
      </c>
    </row>
    <row r="24" spans="1:6" x14ac:dyDescent="0.3">
      <c r="A24" s="657" t="s">
        <v>3118</v>
      </c>
      <c r="B24" s="657" t="s">
        <v>3117</v>
      </c>
      <c r="C24" s="670">
        <f>IF($B$13=2014,Ratios!D16,IF($B$13=2015,Ratios!E16,IF($B$13=2016,Ratios!F16,IF($B$13=2017,Ratios!G16,IF($B$13=2018,Ratios!H16,IF($B$13=2019,Ratios!I16,0))))))</f>
        <v>0.11819571955773174</v>
      </c>
      <c r="D24" s="670"/>
      <c r="E24" s="657" t="s">
        <v>3133</v>
      </c>
    </row>
    <row r="25" spans="1:6" x14ac:dyDescent="0.3">
      <c r="A25" s="657" t="s">
        <v>3116</v>
      </c>
      <c r="B25" s="657" t="s">
        <v>364</v>
      </c>
      <c r="C25" s="670">
        <f>IF($B$13=2014,Ratios!D21,IF($B$13=2015,Ratios!E21,IF($B$13=2016,Ratios!F21,IF($B$13=2017,Ratios!G21,IF($B$13=2018,Ratios!H21,IF($B$13=2019,Ratios!I21,0))))))</f>
        <v>0.27385271683256324</v>
      </c>
      <c r="D25" s="670"/>
      <c r="E25" s="657" t="s">
        <v>3133</v>
      </c>
    </row>
    <row r="26" spans="1:6" x14ac:dyDescent="0.3">
      <c r="A26" s="661" t="s">
        <v>3203</v>
      </c>
      <c r="B26" s="659"/>
      <c r="C26" s="659"/>
      <c r="D26" s="659"/>
      <c r="E26" s="659" t="s">
        <v>3115</v>
      </c>
      <c r="F26" s="659" t="s">
        <v>3103</v>
      </c>
    </row>
    <row r="27" spans="1:6" x14ac:dyDescent="0.3">
      <c r="A27" s="657" t="s">
        <v>3114</v>
      </c>
      <c r="B27" s="657" t="s">
        <v>3113</v>
      </c>
      <c r="C27" s="670">
        <f>IF($B$13=2014,Ratios!D36,IF($B$13=2015,Ratios!E36,IF($B$13=2016,Ratios!F36,IF($B$13=2017,Ratios!G36,IF($B$13=2018,Ratios!H36,IF($B$13=2019,Ratios!I36,0))))))</f>
        <v>1.8224881718263638E-2</v>
      </c>
      <c r="D27" s="670"/>
      <c r="E27" s="657" t="s">
        <v>3134</v>
      </c>
      <c r="F27" s="657" t="s">
        <v>3112</v>
      </c>
    </row>
    <row r="28" spans="1:6" x14ac:dyDescent="0.3">
      <c r="A28" s="657" t="s">
        <v>3111</v>
      </c>
      <c r="B28" s="657" t="s">
        <v>3110</v>
      </c>
      <c r="C28" s="670">
        <f>IF($B$13=2014,Ratios!D37,IF($B$13=2015,Ratios!E37,IF($B$13=2016,Ratios!F37,IF($B$13=2017,Ratios!G37,IF($B$13=2018,Ratios!H37,IF($B$13=2019,Ratios!I37,0))))))</f>
        <v>0.1358313316626637</v>
      </c>
      <c r="D28" s="670"/>
      <c r="E28" s="657" t="s">
        <v>3134</v>
      </c>
      <c r="F28" s="657" t="s">
        <v>3143</v>
      </c>
    </row>
    <row r="29" spans="1:6" x14ac:dyDescent="0.3">
      <c r="A29" s="657" t="s">
        <v>3144</v>
      </c>
      <c r="B29" s="657" t="s">
        <v>3109</v>
      </c>
      <c r="C29" s="670">
        <f>IF($B$13=2014,Ratios!D38,IF($B$13=2015,Ratios!E38,IF($B$13=2016,Ratios!F38,IF($B$13=2017,Ratios!G38,IF($B$13=2018,Ratios!H38,IF($B$13=2019,Ratios!I38,0))))))</f>
        <v>4.7963501101841381E-2</v>
      </c>
      <c r="D29" s="670"/>
      <c r="E29" s="657" t="s">
        <v>3134</v>
      </c>
      <c r="F29" s="657" t="s">
        <v>3108</v>
      </c>
    </row>
    <row r="30" spans="1:6" x14ac:dyDescent="0.3">
      <c r="A30" s="657" t="s">
        <v>3107</v>
      </c>
      <c r="B30" s="657" t="s">
        <v>3168</v>
      </c>
      <c r="C30" s="670">
        <f>IF($B$13=2014,Ratios!D39,IF($B$13=2015,Ratios!E39,IF($B$13=2016,Ratios!F39,IF($B$13=2017,Ratios!G39,IF($B$13=2018,Ratios!H39,IF($B$13=2019,Ratios!I39,0))))))</f>
        <v>0.10131420240200291</v>
      </c>
      <c r="D30" s="670"/>
      <c r="E30" s="657" t="s">
        <v>3134</v>
      </c>
    </row>
    <row r="31" spans="1:6" x14ac:dyDescent="0.3">
      <c r="A31" s="661" t="s">
        <v>268</v>
      </c>
      <c r="B31" s="659"/>
      <c r="C31" s="659"/>
      <c r="D31" s="659"/>
      <c r="E31" s="659" t="s">
        <v>3104</v>
      </c>
      <c r="F31" s="659" t="s">
        <v>3103</v>
      </c>
    </row>
    <row r="32" spans="1:6" x14ac:dyDescent="0.3">
      <c r="A32" s="657" t="s">
        <v>3102</v>
      </c>
      <c r="B32" s="662" t="s">
        <v>3101</v>
      </c>
      <c r="C32" s="671">
        <f>IF($B$13=2014,Ratios!D46,IF($B$13=2015,Ratios!E46,IF($B$13=2016,Ratios!F46,IF($B$13=2017,Ratios!G46,IF($B$13=2018,Ratios!H46,IF($B$13=2019,Ratios!I46,0))))))</f>
        <v>1.0382535709643457</v>
      </c>
      <c r="D32" s="671">
        <v>2</v>
      </c>
      <c r="E32" s="657" t="s">
        <v>3131</v>
      </c>
    </row>
    <row r="33" spans="1:6" x14ac:dyDescent="0.3">
      <c r="A33" s="657" t="s">
        <v>3100</v>
      </c>
      <c r="B33" s="663" t="s">
        <v>3099</v>
      </c>
      <c r="C33" s="671">
        <f>IF($B$13=2014,Ratios!D47,IF($B$13=2015,Ratios!E47,IF($B$13=2016,Ratios!F47,IF($B$13=2017,Ratios!G47,IF($B$13=2018,Ratios!H47,IF($B$13=2019,Ratios!I47,0))))))</f>
        <v>4.6056436855154287E-2</v>
      </c>
      <c r="D33" s="671">
        <v>1</v>
      </c>
      <c r="E33" s="657" t="s">
        <v>3131</v>
      </c>
    </row>
    <row r="34" spans="1:6" x14ac:dyDescent="0.3">
      <c r="A34" s="657" t="s">
        <v>3098</v>
      </c>
      <c r="B34" s="662" t="s">
        <v>3097</v>
      </c>
      <c r="C34" s="671">
        <f>IF($B$13=2014,Ratios!D51,IF($B$13=2015,Ratios!E51,IF($B$13=2016,Ratios!F51,IF($B$13=2017,Ratios!G51,IF($B$13=2018,Ratios!H51,IF($B$13=2019,Ratios!I51,0))))))</f>
        <v>517.51101761374241</v>
      </c>
      <c r="D34" s="671">
        <v>1</v>
      </c>
      <c r="E34" s="657" t="s">
        <v>3132</v>
      </c>
    </row>
    <row r="35" spans="1:6" x14ac:dyDescent="0.3">
      <c r="A35" s="661" t="s">
        <v>1726</v>
      </c>
      <c r="B35" s="660"/>
      <c r="C35" s="660"/>
      <c r="D35" s="660"/>
      <c r="E35" s="659"/>
      <c r="F35" s="659"/>
    </row>
    <row r="36" spans="1:6" x14ac:dyDescent="0.3">
      <c r="B36" s="658"/>
    </row>
    <row r="38" spans="1:6" x14ac:dyDescent="0.3">
      <c r="A38" s="762" t="s">
        <v>3901</v>
      </c>
      <c r="B38" s="657" t="s">
        <v>3902</v>
      </c>
      <c r="C38" s="657" t="s">
        <v>3908</v>
      </c>
    </row>
    <row r="39" spans="1:6" x14ac:dyDescent="0.3">
      <c r="A39" s="761" t="s">
        <v>3162</v>
      </c>
      <c r="B39" s="670">
        <f>IF($B$13=2014,Ratios!D8,IF($B$13=2015,Ratios!E8,IF($B$13=2016,Ratios!F8,IF($B$13=2017,Ratios!G8,IF($B$13=2018,Ratios!H8,IF($B$13=2019,Ratios!I8,0))))))</f>
        <v>0.81128596305618506</v>
      </c>
      <c r="D39" s="657" t="s">
        <v>3903</v>
      </c>
    </row>
    <row r="40" spans="1:6" x14ac:dyDescent="0.3">
      <c r="A40" s="761" t="s">
        <v>3163</v>
      </c>
      <c r="B40" s="670">
        <f>IF($B$13=2014,Ratios!D10,IF($B$13=2015,Ratios!E10,IF($B$13=2016,Ratios!F10,IF($B$13=2017,Ratios!G10,IF($B$13=2018,Ratios!H10,IF($B$13=2019,Ratios!I10,0))))))</f>
        <v>3.6385236644613066E-2</v>
      </c>
      <c r="D40" s="657" t="s">
        <v>3903</v>
      </c>
    </row>
    <row r="41" spans="1:6" x14ac:dyDescent="0.3">
      <c r="A41" s="761" t="s">
        <v>3161</v>
      </c>
      <c r="B41" s="670">
        <f>IF($B$13=2014,Ratios!D14,IF($B$13=2015,Ratios!E14,IF($B$13=2016,Ratios!F14,IF($B$13=2017,Ratios!G14,IF($B$13=2018,Ratios!H14,IF($B$13=2019,Ratios!I14,0))))))</f>
        <v>0.17618207548878353</v>
      </c>
      <c r="D41" s="657" t="s">
        <v>3904</v>
      </c>
    </row>
    <row r="42" spans="1:6" x14ac:dyDescent="0.3">
      <c r="A42" s="761" t="s">
        <v>3152</v>
      </c>
      <c r="B42" s="670">
        <f>IF($B$13=2014,Ratios!D19,IF($B$13=2015,Ratios!E19,IF($B$13=2016,Ratios!F19,IF($B$13=2017,Ratios!G19,IF($B$13=2018,Ratios!H19,IF($B$13=2019,Ratios!I19,0))))))</f>
        <v>0.27221416190359105</v>
      </c>
      <c r="D42" s="657" t="s">
        <v>3904</v>
      </c>
    </row>
    <row r="43" spans="1:6" x14ac:dyDescent="0.3">
      <c r="A43" s="761" t="s">
        <v>3160</v>
      </c>
      <c r="B43" s="671">
        <f>IF($B$13=2014,Ratios!D20,IF($B$13=2015,Ratios!E20,IF($B$13=2016,Ratios!F20,IF($B$13=2017,Ratios!G20,IF($B$13=2018,Ratios!H20,IF($B$13=2019,Ratios!I20,0))))))</f>
        <v>2.2149309344651744</v>
      </c>
      <c r="D43" s="657" t="s">
        <v>3904</v>
      </c>
    </row>
    <row r="44" spans="1:6" x14ac:dyDescent="0.3">
      <c r="A44" s="761" t="s">
        <v>3156</v>
      </c>
      <c r="B44" s="670">
        <f>IF($B$13=2014,Ratios!D59,IF($B$13=2015,Ratios!E59,IF($B$13=2016,Ratios!F59,IF($B$13=2017,Ratios!G59,IF($B$13=2018,Ratios!H59,IF($B$13=2019,Ratios!I59,0))))))</f>
        <v>0.88034015157393397</v>
      </c>
      <c r="D44" s="657" t="s">
        <v>3905</v>
      </c>
    </row>
    <row r="45" spans="1:6" x14ac:dyDescent="0.3">
      <c r="A45" s="761" t="s">
        <v>3151</v>
      </c>
      <c r="B45" s="670">
        <f>IF($B$13=2014,Ratios!D62,IF($B$13=2015,Ratios!E62,IF($B$13=2016,Ratios!F62,IF($B$13=2017,Ratios!G62,IF($B$13=2018,Ratios!H62,IF($B$13=2019,Ratios!I62,0))))))</f>
        <v>0.24789606740963274</v>
      </c>
      <c r="D45" s="657" t="s">
        <v>3903</v>
      </c>
    </row>
    <row r="46" spans="1:6" x14ac:dyDescent="0.3">
      <c r="A46" s="761" t="s">
        <v>3153</v>
      </c>
      <c r="B46" s="670">
        <f>IF($B$13=2014,Ratios!D63,IF($B$13=2015,Ratios!E63,IF($B$13=2016,Ratios!F63,IF($B$13=2017,Ratios!G63,IF($B$13=2018,Ratios!H63,IF($B$13=2019,Ratios!I63,0))))))</f>
        <v>0</v>
      </c>
      <c r="D46" s="657" t="s">
        <v>3906</v>
      </c>
    </row>
    <row r="47" spans="1:6" x14ac:dyDescent="0.3">
      <c r="A47" s="761" t="s">
        <v>3157</v>
      </c>
      <c r="B47" s="671">
        <f>IF($B$13=2014,Ratios!D64,IF($B$13=2015,Ratios!E64,IF($B$13=2016,Ratios!F64,IF($B$13=2017,Ratios!G64,IF($B$13=2018,Ratios!H64,IF($B$13=2019,Ratios!I64,0))))))</f>
        <v>21.415860593291043</v>
      </c>
      <c r="D47" s="657" t="s">
        <v>3907</v>
      </c>
    </row>
    <row r="48" spans="1:6" x14ac:dyDescent="0.3">
      <c r="A48" s="761" t="s">
        <v>3158</v>
      </c>
      <c r="B48" s="671">
        <f>IF($B$13=2014,Ratios!D65,IF($B$13=2015,Ratios!E65,IF($B$13=2016,Ratios!F65,IF($B$13=2017,Ratios!G65,IF($B$13=2018,Ratios!H65,IF($B$13=2019,Ratios!I65,0))))))</f>
        <v>0.36186856312733029</v>
      </c>
      <c r="D48" s="657" t="s">
        <v>3907</v>
      </c>
    </row>
    <row r="52" spans="1:4" x14ac:dyDescent="0.3">
      <c r="A52" s="878" t="s">
        <v>3931</v>
      </c>
      <c r="B52" s="878"/>
      <c r="C52" s="878"/>
      <c r="D52" s="878"/>
    </row>
    <row r="53" spans="1:4" x14ac:dyDescent="0.3">
      <c r="A53" s="878"/>
      <c r="B53" s="878"/>
      <c r="C53" s="878"/>
      <c r="D53" s="878"/>
    </row>
    <row r="54" spans="1:4" x14ac:dyDescent="0.3">
      <c r="A54" s="878"/>
      <c r="B54" s="878"/>
      <c r="C54" s="878"/>
      <c r="D54" s="878"/>
    </row>
    <row r="55" spans="1:4" x14ac:dyDescent="0.3">
      <c r="A55" s="878"/>
      <c r="B55" s="878"/>
      <c r="C55" s="878"/>
      <c r="D55" s="878"/>
    </row>
    <row r="56" spans="1:4" x14ac:dyDescent="0.3">
      <c r="A56" s="878"/>
      <c r="B56" s="878"/>
      <c r="C56" s="878"/>
      <c r="D56" s="878"/>
    </row>
    <row r="57" spans="1:4" x14ac:dyDescent="0.3">
      <c r="A57" s="878"/>
      <c r="B57" s="878"/>
      <c r="C57" s="878"/>
      <c r="D57" s="878"/>
    </row>
    <row r="58" spans="1:4" x14ac:dyDescent="0.3">
      <c r="A58" s="878"/>
      <c r="B58" s="878"/>
      <c r="C58" s="878"/>
      <c r="D58" s="878"/>
    </row>
    <row r="59" spans="1:4" x14ac:dyDescent="0.3">
      <c r="A59" s="878"/>
      <c r="B59" s="878"/>
      <c r="C59" s="878"/>
      <c r="D59" s="878"/>
    </row>
    <row r="60" spans="1:4" x14ac:dyDescent="0.3">
      <c r="A60" s="878"/>
      <c r="B60" s="878"/>
      <c r="C60" s="878"/>
      <c r="D60" s="878"/>
    </row>
    <row r="61" spans="1:4" x14ac:dyDescent="0.3">
      <c r="A61" s="878"/>
      <c r="B61" s="878"/>
      <c r="C61" s="878"/>
      <c r="D61" s="878"/>
    </row>
    <row r="62" spans="1:4" x14ac:dyDescent="0.3">
      <c r="A62" s="878"/>
      <c r="B62" s="878"/>
      <c r="C62" s="878"/>
      <c r="D62" s="878"/>
    </row>
    <row r="63" spans="1:4" x14ac:dyDescent="0.3">
      <c r="A63" s="878"/>
      <c r="B63" s="878"/>
      <c r="C63" s="878"/>
      <c r="D63" s="878"/>
    </row>
    <row r="64" spans="1:4" x14ac:dyDescent="0.3">
      <c r="A64" s="878"/>
      <c r="B64" s="878"/>
      <c r="C64" s="878"/>
      <c r="D64" s="878"/>
    </row>
  </sheetData>
  <mergeCells count="3">
    <mergeCell ref="A2:E5"/>
    <mergeCell ref="E6:E9"/>
    <mergeCell ref="A52:D64"/>
  </mergeCells>
  <conditionalFormatting sqref="C18">
    <cfRule type="colorScale" priority="18">
      <colorScale>
        <cfvo type="formula" val="$D$18"/>
        <cfvo type="formula" val="$D$18"/>
        <color rgb="FFFF0000"/>
        <color rgb="FF009900"/>
      </colorScale>
    </cfRule>
  </conditionalFormatting>
  <conditionalFormatting sqref="C19:C20">
    <cfRule type="colorScale" priority="17">
      <colorScale>
        <cfvo type="formula" val="$D$20"/>
        <cfvo type="formula" val="$D$20"/>
        <color rgb="FFFF0000"/>
        <color rgb="FF009900"/>
      </colorScale>
    </cfRule>
  </conditionalFormatting>
  <conditionalFormatting sqref="C22">
    <cfRule type="colorScale" priority="12">
      <colorScale>
        <cfvo type="formula" val="$D$22+3%"/>
        <cfvo type="formula" val="$D$22-3%"/>
        <color rgb="FFFF0000"/>
        <color rgb="FF009900"/>
      </colorScale>
    </cfRule>
  </conditionalFormatting>
  <conditionalFormatting sqref="C23">
    <cfRule type="colorScale" priority="11">
      <colorScale>
        <cfvo type="formula" val="$D$23+3%"/>
        <cfvo type="formula" val="$D$23-3%"/>
        <color rgb="FFFF0000"/>
        <color rgb="FF009900"/>
      </colorScale>
    </cfRule>
  </conditionalFormatting>
  <conditionalFormatting sqref="C24">
    <cfRule type="colorScale" priority="10">
      <colorScale>
        <cfvo type="formula" val="$D$24+3%"/>
        <cfvo type="formula" val="$D$24-3%"/>
        <color rgb="FFFF0000"/>
        <color rgb="FF009900"/>
      </colorScale>
    </cfRule>
  </conditionalFormatting>
  <conditionalFormatting sqref="C25">
    <cfRule type="colorScale" priority="9">
      <colorScale>
        <cfvo type="formula" val="$D$25+3%"/>
        <cfvo type="formula" val="$D$25-3%"/>
        <color rgb="FFFF0000"/>
        <color rgb="FF009900"/>
      </colorScale>
    </cfRule>
  </conditionalFormatting>
  <conditionalFormatting sqref="C27">
    <cfRule type="colorScale" priority="8">
      <colorScale>
        <cfvo type="formula" val="$D$27-3%"/>
        <cfvo type="formula" val="$D$27+3%"/>
        <color rgb="FF00B050"/>
        <color rgb="FFFF0000"/>
      </colorScale>
    </cfRule>
  </conditionalFormatting>
  <conditionalFormatting sqref="C28">
    <cfRule type="colorScale" priority="7">
      <colorScale>
        <cfvo type="formula" val="$D$28-3%"/>
        <cfvo type="formula" val="$D$28+3%"/>
        <color rgb="FF009900"/>
        <color rgb="FFFF0000"/>
      </colorScale>
    </cfRule>
  </conditionalFormatting>
  <conditionalFormatting sqref="C29">
    <cfRule type="colorScale" priority="6">
      <colorScale>
        <cfvo type="formula" val="$D$29-3%"/>
        <cfvo type="formula" val="$D$29+3%"/>
        <color rgb="FFFF0000"/>
        <color rgb="FF009900"/>
      </colorScale>
    </cfRule>
  </conditionalFormatting>
  <conditionalFormatting sqref="C30">
    <cfRule type="colorScale" priority="5">
      <colorScale>
        <cfvo type="formula" val="$D$30-3%"/>
        <cfvo type="formula" val="$D$30+3%"/>
        <color rgb="FF009900"/>
        <color rgb="FFFF0000"/>
      </colorScale>
    </cfRule>
  </conditionalFormatting>
  <conditionalFormatting sqref="C32">
    <cfRule type="colorScale" priority="4">
      <colorScale>
        <cfvo type="num" val="$D$32"/>
        <cfvo type="formula" val="$D$32"/>
        <color rgb="FF009900"/>
        <color rgb="FFFF0000"/>
      </colorScale>
    </cfRule>
  </conditionalFormatting>
  <conditionalFormatting sqref="C33">
    <cfRule type="colorScale" priority="3">
      <colorScale>
        <cfvo type="formula" val="$D$33"/>
        <cfvo type="formula" val="$D$33"/>
        <color rgb="FF009900"/>
        <color rgb="FFFF0000"/>
      </colorScale>
    </cfRule>
  </conditionalFormatting>
  <conditionalFormatting sqref="C34">
    <cfRule type="colorScale" priority="2">
      <colorScale>
        <cfvo type="formula" val="$D$34"/>
        <cfvo type="formula" val="$D$34"/>
        <color rgb="FFFF0000"/>
        <color rgb="FF009900"/>
      </colorScale>
    </cfRule>
  </conditionalFormatting>
  <dataValidations count="2">
    <dataValidation type="list" allowBlank="1" showInputMessage="1" showErrorMessage="1" sqref="B13 B15" xr:uid="{00000000-0002-0000-0700-000000000000}">
      <formula1>"2014,2015,2016,2017,2018,2019"</formula1>
    </dataValidation>
    <dataValidation type="list" allowBlank="1" showInputMessage="1" showErrorMessage="1" sqref="B14" xr:uid="{00000000-0002-0000-0700-000001000000}">
      <formula1>"US,Europe,Japan,Emerging Markets,Just China, Just India,Global"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35" baseType="lpstr">
      <vt:lpstr>Client Input</vt:lpstr>
      <vt:lpstr>Budget</vt:lpstr>
      <vt:lpstr>Progress</vt:lpstr>
      <vt:lpstr>BP VS. P</vt:lpstr>
      <vt:lpstr>Input</vt:lpstr>
      <vt:lpstr>Ratios</vt:lpstr>
      <vt:lpstr>Cash Flow</vt:lpstr>
      <vt:lpstr>I.S. Sensitivity</vt:lpstr>
      <vt:lpstr>Client Dashboard</vt:lpstr>
      <vt:lpstr>Growth Rate</vt:lpstr>
      <vt:lpstr>Common Size</vt:lpstr>
      <vt:lpstr>Pricing</vt:lpstr>
      <vt:lpstr>Data Needed</vt:lpstr>
      <vt:lpstr>DCF</vt:lpstr>
      <vt:lpstr>Multiples</vt:lpstr>
      <vt:lpstr>Currences</vt:lpstr>
      <vt:lpstr>Stock</vt:lpstr>
      <vt:lpstr>Shareholders</vt:lpstr>
      <vt:lpstr>Breakdowns</vt:lpstr>
      <vt:lpstr>Sheet1</vt:lpstr>
      <vt:lpstr>LTD Runoff</vt:lpstr>
      <vt:lpstr>Liquidity </vt:lpstr>
      <vt:lpstr>Sales Chart</vt:lpstr>
      <vt:lpstr>O.P. Chart</vt:lpstr>
      <vt:lpstr>F.S. Chart</vt:lpstr>
      <vt:lpstr>Profit Chart</vt:lpstr>
      <vt:lpstr>Profit M Chart</vt:lpstr>
      <vt:lpstr>EBITDA Chart</vt:lpstr>
      <vt:lpstr>F. A. Chart</vt:lpstr>
      <vt:lpstr>Debt Chart</vt:lpstr>
      <vt:lpstr>'LTD Runoff'!LEASE</vt:lpstr>
      <vt:lpstr>'LTD Runoff'!Print_Area</vt:lpstr>
      <vt:lpstr>'LTD Runoff'!RUNOFF1</vt:lpstr>
      <vt:lpstr>'LTD Runoff'!RUNOFF2</vt:lpstr>
      <vt:lpstr>'LTD Runoff'!RUNOFF3</vt:lpstr>
    </vt:vector>
  </TitlesOfParts>
  <Company>ABN Amro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MohamedSAM@banquemisr.com</dc:creator>
  <cp:lastModifiedBy>MOHAMED ABBAS</cp:lastModifiedBy>
  <cp:lastPrinted>2010-10-24T07:48:00Z</cp:lastPrinted>
  <dcterms:created xsi:type="dcterms:W3CDTF">2006-12-13T14:10:14Z</dcterms:created>
  <dcterms:modified xsi:type="dcterms:W3CDTF">2020-03-27T16:17:37Z</dcterms:modified>
</cp:coreProperties>
</file>