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65" windowWidth="14805" windowHeight="7050" tabRatio="944"/>
  </bookViews>
  <sheets>
    <sheet name="January  2016" sheetId="49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'January  2016'!$A$1:$J$82</definedName>
  </definedNames>
  <calcPr calcId="152511"/>
</workbook>
</file>

<file path=xl/calcChain.xml><?xml version="1.0" encoding="utf-8"?>
<calcChain xmlns="http://schemas.openxmlformats.org/spreadsheetml/2006/main">
  <c r="D49" i="49" l="1"/>
  <c r="D10" i="49" l="1"/>
  <c r="E10" i="49"/>
  <c r="J51" i="49" l="1"/>
  <c r="E49" i="49"/>
  <c r="D48" i="49"/>
  <c r="E48" i="49"/>
  <c r="D50" i="49"/>
  <c r="E50" i="49"/>
  <c r="D46" i="49"/>
  <c r="E46" i="49"/>
  <c r="D42" i="49"/>
  <c r="E42" i="49"/>
  <c r="D45" i="49"/>
  <c r="E45" i="49"/>
  <c r="D44" i="49"/>
  <c r="E44" i="49"/>
  <c r="D43" i="49"/>
  <c r="E43" i="49"/>
  <c r="D17" i="49"/>
  <c r="E17" i="49"/>
  <c r="D16" i="49"/>
  <c r="E16" i="49"/>
  <c r="D18" i="49"/>
  <c r="E18" i="49"/>
  <c r="D14" i="49"/>
  <c r="E14" i="49"/>
  <c r="D15" i="49"/>
  <c r="E15" i="49"/>
  <c r="D13" i="49"/>
  <c r="E13" i="49"/>
  <c r="D12" i="49"/>
  <c r="E12" i="49"/>
  <c r="D37" i="49"/>
  <c r="E37" i="49"/>
  <c r="D38" i="49"/>
  <c r="E38" i="49"/>
  <c r="D40" i="49"/>
  <c r="E40" i="49"/>
  <c r="D39" i="49"/>
  <c r="E39" i="49"/>
  <c r="D36" i="49"/>
  <c r="E36" i="49"/>
  <c r="D35" i="49"/>
  <c r="E35" i="49"/>
  <c r="D23" i="49"/>
  <c r="E23" i="49"/>
  <c r="D20" i="49"/>
  <c r="E20" i="49"/>
  <c r="D22" i="49"/>
  <c r="E22" i="49"/>
  <c r="D21" i="49"/>
  <c r="E21" i="49"/>
  <c r="D32" i="49"/>
  <c r="E32" i="49"/>
  <c r="D31" i="49"/>
  <c r="E31" i="49"/>
  <c r="D30" i="49"/>
  <c r="E30" i="49"/>
  <c r="D28" i="49"/>
  <c r="E28" i="49"/>
  <c r="D25" i="49"/>
  <c r="E25" i="49"/>
  <c r="D27" i="49"/>
  <c r="E27" i="49"/>
  <c r="D29" i="49"/>
  <c r="E29" i="49"/>
  <c r="D26" i="49"/>
  <c r="E26" i="49"/>
  <c r="D33" i="49"/>
  <c r="E33" i="49"/>
  <c r="D8" i="49"/>
  <c r="E8" i="49"/>
  <c r="D7" i="49"/>
  <c r="E7" i="49"/>
  <c r="D9" i="49"/>
  <c r="E9" i="49"/>
  <c r="D6" i="49"/>
  <c r="E6" i="49"/>
  <c r="D5" i="49"/>
  <c r="E5" i="49"/>
  <c r="D4" i="49"/>
  <c r="E4" i="49"/>
  <c r="I48" i="49" l="1"/>
  <c r="G48" i="49" l="1"/>
  <c r="H48" i="49" s="1"/>
  <c r="J48" i="49" s="1"/>
  <c r="D51" i="49"/>
  <c r="E51" i="49"/>
  <c r="C51" i="49"/>
  <c r="I50" i="49" l="1"/>
  <c r="I49" i="49"/>
  <c r="I46" i="49"/>
  <c r="I45" i="49"/>
  <c r="I44" i="49"/>
  <c r="I43" i="49"/>
  <c r="I42" i="49"/>
  <c r="I40" i="49"/>
  <c r="I39" i="49"/>
  <c r="I38" i="49"/>
  <c r="I37" i="49"/>
  <c r="I36" i="49"/>
  <c r="I35" i="49"/>
  <c r="I33" i="49"/>
  <c r="I32" i="49"/>
  <c r="I31" i="49"/>
  <c r="I30" i="49"/>
  <c r="I29" i="49"/>
  <c r="I28" i="49"/>
  <c r="I27" i="49"/>
  <c r="I26" i="49"/>
  <c r="I25" i="49"/>
  <c r="I23" i="49"/>
  <c r="I22" i="49"/>
  <c r="I21" i="49"/>
  <c r="I20" i="49"/>
  <c r="I18" i="49"/>
  <c r="I17" i="49"/>
  <c r="I16" i="49"/>
  <c r="I15" i="49"/>
  <c r="I14" i="49"/>
  <c r="I13" i="49"/>
  <c r="I12" i="49"/>
  <c r="I10" i="49"/>
  <c r="I9" i="49"/>
  <c r="I8" i="49"/>
  <c r="I7" i="49"/>
  <c r="I6" i="49"/>
  <c r="I5" i="49"/>
  <c r="I4" i="49"/>
  <c r="G16" i="49"/>
  <c r="H16" i="49" s="1"/>
  <c r="J16" i="49" s="1"/>
  <c r="B16" i="49"/>
  <c r="A16" i="49"/>
  <c r="I51" i="49" l="1"/>
  <c r="D11" i="49" l="1"/>
  <c r="E34" i="49" l="1"/>
  <c r="E41" i="49" l="1"/>
  <c r="G46" i="49" l="1"/>
  <c r="H46" i="49" s="1"/>
  <c r="J46" i="49" s="1"/>
  <c r="G9" i="49"/>
  <c r="H9" i="49" s="1"/>
  <c r="J9" i="49" s="1"/>
  <c r="G50" i="49"/>
  <c r="G49" i="49"/>
  <c r="H49" i="49" s="1"/>
  <c r="J49" i="49" s="1"/>
  <c r="B49" i="49"/>
  <c r="C47" i="49"/>
  <c r="G45" i="49"/>
  <c r="H45" i="49" s="1"/>
  <c r="J45" i="49" s="1"/>
  <c r="G44" i="49"/>
  <c r="H44" i="49" s="1"/>
  <c r="G43" i="49"/>
  <c r="H43" i="49" s="1"/>
  <c r="C41" i="49"/>
  <c r="G40" i="49"/>
  <c r="H40" i="49" s="1"/>
  <c r="G39" i="49"/>
  <c r="H39" i="49" s="1"/>
  <c r="B39" i="49"/>
  <c r="A39" i="49"/>
  <c r="G38" i="49"/>
  <c r="H38" i="49" s="1"/>
  <c r="G37" i="49"/>
  <c r="H37" i="49" s="1"/>
  <c r="J37" i="49" s="1"/>
  <c r="G36" i="49"/>
  <c r="H36" i="49" s="1"/>
  <c r="J36" i="49" s="1"/>
  <c r="B36" i="49"/>
  <c r="C34" i="49"/>
  <c r="G33" i="49"/>
  <c r="H33" i="49" s="1"/>
  <c r="J33" i="49" s="1"/>
  <c r="G32" i="49"/>
  <c r="H32" i="49" s="1"/>
  <c r="G31" i="49"/>
  <c r="H31" i="49" s="1"/>
  <c r="G30" i="49"/>
  <c r="H30" i="49" s="1"/>
  <c r="G29" i="49"/>
  <c r="H29" i="49" s="1"/>
  <c r="B29" i="49"/>
  <c r="A29" i="49"/>
  <c r="G28" i="49"/>
  <c r="H28" i="49" s="1"/>
  <c r="G27" i="49"/>
  <c r="H27" i="49" s="1"/>
  <c r="G26" i="49"/>
  <c r="H26" i="49" s="1"/>
  <c r="G25" i="49"/>
  <c r="D34" i="49"/>
  <c r="C24" i="49"/>
  <c r="G23" i="49"/>
  <c r="H23" i="49" s="1"/>
  <c r="G22" i="49"/>
  <c r="H22" i="49" s="1"/>
  <c r="G21" i="49"/>
  <c r="H21" i="49" s="1"/>
  <c r="J21" i="49" s="1"/>
  <c r="E24" i="49"/>
  <c r="C19" i="49"/>
  <c r="G18" i="49"/>
  <c r="H18" i="49" s="1"/>
  <c r="J18" i="49" s="1"/>
  <c r="G17" i="49"/>
  <c r="H17" i="49" s="1"/>
  <c r="B17" i="49"/>
  <c r="A17" i="49"/>
  <c r="G15" i="49"/>
  <c r="H15" i="49" s="1"/>
  <c r="G14" i="49"/>
  <c r="H14" i="49" s="1"/>
  <c r="J14" i="49" s="1"/>
  <c r="G13" i="49"/>
  <c r="H13" i="49" s="1"/>
  <c r="J13" i="49" s="1"/>
  <c r="E19" i="49"/>
  <c r="C11" i="49"/>
  <c r="G10" i="49"/>
  <c r="G8" i="49"/>
  <c r="H8" i="49" s="1"/>
  <c r="G7" i="49"/>
  <c r="H7" i="49" s="1"/>
  <c r="G6" i="49"/>
  <c r="H6" i="49" s="1"/>
  <c r="G5" i="49"/>
  <c r="H5" i="49" s="1"/>
  <c r="J5" i="49" s="1"/>
  <c r="I11" i="49"/>
  <c r="G4" i="49"/>
  <c r="H50" i="49" l="1"/>
  <c r="H51" i="49" s="1"/>
  <c r="G51" i="49"/>
  <c r="K49" i="49"/>
  <c r="E47" i="49"/>
  <c r="H10" i="49"/>
  <c r="J10" i="49" s="1"/>
  <c r="K10" i="49" s="1"/>
  <c r="J28" i="49"/>
  <c r="K28" i="49" s="1"/>
  <c r="J29" i="49"/>
  <c r="J30" i="49"/>
  <c r="K30" i="49" s="1"/>
  <c r="J6" i="49"/>
  <c r="K6" i="49" s="1"/>
  <c r="J39" i="49"/>
  <c r="K39" i="49" s="1"/>
  <c r="G34" i="49"/>
  <c r="D24" i="49"/>
  <c r="D41" i="49"/>
  <c r="I41" i="49"/>
  <c r="D47" i="49"/>
  <c r="I47" i="49"/>
  <c r="J44" i="49"/>
  <c r="K44" i="49" s="1"/>
  <c r="J40" i="49"/>
  <c r="K40" i="49" s="1"/>
  <c r="J43" i="49"/>
  <c r="K43" i="49" s="1"/>
  <c r="J7" i="49"/>
  <c r="K7" i="49" s="1"/>
  <c r="J8" i="49"/>
  <c r="K8" i="49" s="1"/>
  <c r="J17" i="49"/>
  <c r="I24" i="49"/>
  <c r="J22" i="49"/>
  <c r="K22" i="49" s="1"/>
  <c r="J23" i="49"/>
  <c r="K23" i="49" s="1"/>
  <c r="J26" i="49"/>
  <c r="K26" i="49" s="1"/>
  <c r="J27" i="49"/>
  <c r="K27" i="49" s="1"/>
  <c r="J31" i="49"/>
  <c r="K31" i="49" s="1"/>
  <c r="J32" i="49"/>
  <c r="K32" i="49" s="1"/>
  <c r="J38" i="49"/>
  <c r="K38" i="49" s="1"/>
  <c r="G11" i="49"/>
  <c r="K5" i="49"/>
  <c r="K13" i="49"/>
  <c r="E11" i="49"/>
  <c r="H4" i="49"/>
  <c r="D19" i="49"/>
  <c r="G12" i="49"/>
  <c r="I19" i="49"/>
  <c r="K14" i="49"/>
  <c r="J15" i="49"/>
  <c r="K15" i="49" s="1"/>
  <c r="K18" i="49"/>
  <c r="K21" i="49"/>
  <c r="K33" i="49"/>
  <c r="K36" i="49"/>
  <c r="K37" i="49"/>
  <c r="K45" i="49"/>
  <c r="K46" i="49"/>
  <c r="C53" i="49"/>
  <c r="G20" i="49"/>
  <c r="H25" i="49"/>
  <c r="I34" i="49"/>
  <c r="G35" i="49"/>
  <c r="G42" i="49"/>
  <c r="J50" i="49" l="1"/>
  <c r="K50" i="49" s="1"/>
  <c r="E53" i="49"/>
  <c r="I53" i="49"/>
  <c r="D53" i="49"/>
  <c r="H34" i="49"/>
  <c r="J25" i="49"/>
  <c r="G24" i="49"/>
  <c r="H20" i="49"/>
  <c r="G47" i="49"/>
  <c r="H42" i="49"/>
  <c r="H35" i="49"/>
  <c r="G41" i="49"/>
  <c r="G19" i="49"/>
  <c r="H12" i="49"/>
  <c r="J4" i="49"/>
  <c r="H11" i="49"/>
  <c r="J34" i="49" l="1"/>
  <c r="K25" i="49"/>
  <c r="G53" i="49"/>
  <c r="H19" i="49"/>
  <c r="J12" i="49"/>
  <c r="J42" i="49"/>
  <c r="H47" i="49"/>
  <c r="J20" i="49"/>
  <c r="H24" i="49"/>
  <c r="J11" i="49"/>
  <c r="J53" i="49" s="1"/>
  <c r="K4" i="49"/>
  <c r="H41" i="49"/>
  <c r="J35" i="49"/>
  <c r="H53" i="49" l="1"/>
  <c r="H54" i="49" s="1"/>
  <c r="J24" i="49"/>
  <c r="K20" i="49"/>
  <c r="J47" i="49"/>
  <c r="K42" i="49"/>
  <c r="J41" i="49"/>
  <c r="K35" i="49"/>
  <c r="J19" i="49"/>
  <c r="K12" i="49"/>
  <c r="K53" i="49" l="1"/>
  <c r="J54" i="49"/>
</calcChain>
</file>

<file path=xl/sharedStrings.xml><?xml version="1.0" encoding="utf-8"?>
<sst xmlns="http://schemas.openxmlformats.org/spreadsheetml/2006/main" count="101" uniqueCount="100">
  <si>
    <t>Name of the Distributor</t>
  </si>
  <si>
    <t>Discount %</t>
  </si>
  <si>
    <t>Warakapola</t>
  </si>
  <si>
    <t>Kegalle</t>
  </si>
  <si>
    <t>Bandarawela</t>
  </si>
  <si>
    <t>Badulla</t>
  </si>
  <si>
    <t>Awissawella</t>
  </si>
  <si>
    <t>Mathugama</t>
  </si>
  <si>
    <t>Aluthgama</t>
  </si>
  <si>
    <t>Matara</t>
  </si>
  <si>
    <t>Embilipitiya</t>
  </si>
  <si>
    <t>Gampola</t>
  </si>
  <si>
    <t>Central</t>
  </si>
  <si>
    <t>Sajath Distributors</t>
  </si>
  <si>
    <t>Trinco</t>
  </si>
  <si>
    <t>Batticaloa</t>
  </si>
  <si>
    <t>Mr.K.Ahilendirajah</t>
  </si>
  <si>
    <t>Ampara</t>
  </si>
  <si>
    <t>Estern</t>
  </si>
  <si>
    <t>Grand Total</t>
  </si>
  <si>
    <t>Dehiwala</t>
  </si>
  <si>
    <t xml:space="preserve">North </t>
  </si>
  <si>
    <t>Western</t>
  </si>
  <si>
    <t>North Western</t>
  </si>
  <si>
    <t>Uva / Sabaragamuwa</t>
  </si>
  <si>
    <t>Down South</t>
  </si>
  <si>
    <t>Negombo</t>
  </si>
  <si>
    <t>Kandy / Katugasthota</t>
  </si>
  <si>
    <t>sales Value (RD)</t>
  </si>
  <si>
    <t>Hambanthota</t>
  </si>
  <si>
    <t>Mr.Lathif</t>
  </si>
  <si>
    <t>R&amp;R Distributor</t>
  </si>
  <si>
    <t>* Pettah Area 50% &amp; All The Other Area's 35%  Discount  Norm.</t>
  </si>
  <si>
    <t>Amith Distributor</t>
  </si>
  <si>
    <t>Sri Rangan Enterprices</t>
  </si>
  <si>
    <t>Akuressa</t>
  </si>
  <si>
    <t>…………………………..</t>
  </si>
  <si>
    <t>………………………</t>
  </si>
  <si>
    <t>Mr.I.H.M.Nadun Hasarindu</t>
  </si>
  <si>
    <t>Ms.W.M.P.Kumarihami</t>
  </si>
  <si>
    <t>Ms.K.G.U Chulamani</t>
  </si>
  <si>
    <t>Mr.A.G.A. Udaya Kumara</t>
  </si>
  <si>
    <t>Mr.D.U.N Rajapaksha</t>
  </si>
  <si>
    <t>Mr.M.S.M Shiyam</t>
  </si>
  <si>
    <t>Mr.T.Sanjeewa</t>
  </si>
  <si>
    <t>Mr.R.H Lional</t>
  </si>
  <si>
    <t>Mr.R.I.B.Sameera Maduranga</t>
  </si>
  <si>
    <t>Mr.U.L.Wijerathne</t>
  </si>
  <si>
    <t>Mr.S.A.M.S.Aththanayakage</t>
  </si>
  <si>
    <t>Mr.I.P.Siriyananda</t>
  </si>
  <si>
    <t>Dambulla</t>
  </si>
  <si>
    <t>Mr.W.A.M.P.K.De Kosta</t>
  </si>
  <si>
    <t>Wijethilaka Distributor</t>
  </si>
  <si>
    <t>Kaduwela</t>
  </si>
  <si>
    <t>Gampaha</t>
  </si>
  <si>
    <t>RD Distributor</t>
  </si>
  <si>
    <t>Pettah 01 &amp; 02</t>
  </si>
  <si>
    <t>Akkareipattu</t>
  </si>
  <si>
    <t>Matale</t>
  </si>
  <si>
    <t>S/S/Co-Ordinator</t>
  </si>
  <si>
    <t>……………………………..</t>
  </si>
  <si>
    <t>Maho</t>
  </si>
  <si>
    <t>Kurunegala</t>
  </si>
  <si>
    <t>Royal Agency</t>
  </si>
  <si>
    <t>Kalpage Stores</t>
  </si>
  <si>
    <t>Received  Value from Distributor</t>
  </si>
  <si>
    <t>Mr.L.R.N.J.Bandara</t>
  </si>
  <si>
    <t>M/Mahanuwara</t>
  </si>
  <si>
    <t>Muthur</t>
  </si>
  <si>
    <t>N-Eliya</t>
  </si>
  <si>
    <t>Saji Distributor</t>
  </si>
  <si>
    <t>* Informed To BDM &amp; ASM  About The Exsess Amount.</t>
  </si>
  <si>
    <t>Territory</t>
  </si>
  <si>
    <t>Monaragala 01</t>
  </si>
  <si>
    <t>Monaragala 02</t>
  </si>
  <si>
    <t>Mr.H.M.Indika Hasantha</t>
  </si>
  <si>
    <t>Mrs.J.M.N.Manike</t>
  </si>
  <si>
    <t>Jaffna 01 &amp; 02</t>
  </si>
  <si>
    <t>Mrs.P.Prathanjani</t>
  </si>
  <si>
    <t>Anuradhapura</t>
  </si>
  <si>
    <t>Wattala</t>
  </si>
  <si>
    <t>Mr.L.G.T.Chandana</t>
  </si>
  <si>
    <t xml:space="preserve">Medawachchiya </t>
  </si>
  <si>
    <t>A.N.K.Distributor</t>
  </si>
  <si>
    <t>Vavuniya</t>
  </si>
  <si>
    <t>No: RD BV C/S (without special Discount RD  c/s)</t>
  </si>
  <si>
    <t>No: Primary BV C/S</t>
  </si>
  <si>
    <t xml:space="preserve">Payable Discount Value </t>
  </si>
  <si>
    <t>Mr.Don Anura Kumara</t>
  </si>
  <si>
    <t>Mr.M.J.J.Udayakantha</t>
  </si>
  <si>
    <t>COSCO Marketing (Mr.Irshath)</t>
  </si>
  <si>
    <t>Sales Value (35%)</t>
  </si>
  <si>
    <t>Authorized by</t>
  </si>
  <si>
    <t>Prepared by</t>
  </si>
  <si>
    <t>Checked by</t>
  </si>
  <si>
    <t>Chavakachcheri</t>
  </si>
  <si>
    <t>Mr.D.G.Jayasinghe</t>
  </si>
  <si>
    <t xml:space="preserve">  Discount Replacement for (January- 2016)</t>
  </si>
  <si>
    <t>G.P.D.Gro:</t>
  </si>
  <si>
    <t>Applicable Discount  35% Value (12%)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</si>
</sst>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Verdana"/>
      <family val="2"/>
    </font>
    <font>
      <b/>
      <i/>
      <sz val="14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u val="singleAccounting"/>
      <sz val="12"/>
      <color theme="1"/>
      <name val="Times New Roman"/>
      <family val="1"/>
    </font>
    <font>
      <b/>
      <i/>
      <sz val="24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i/>
      <sz val="2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9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 wrapText="1"/>
    </xf>
    <xf numFmtId="9" fontId="2" fillId="0" borderId="1" xfId="2" applyFont="1" applyFill="1" applyBorder="1" applyAlignment="1">
      <alignment horizontal="center" vertical="center" wrapText="1"/>
    </xf>
    <xf numFmtId="0" fontId="5" fillId="0" borderId="9" xfId="0" applyFont="1" applyFill="1" applyBorder="1"/>
    <xf numFmtId="43" fontId="5" fillId="0" borderId="9" xfId="1" applyFont="1" applyFill="1" applyBorder="1"/>
    <xf numFmtId="9" fontId="5" fillId="0" borderId="9" xfId="2" applyFont="1" applyFill="1" applyBorder="1"/>
    <xf numFmtId="164" fontId="2" fillId="2" borderId="2" xfId="1" applyNumberFormat="1" applyFont="1" applyFill="1" applyBorder="1"/>
    <xf numFmtId="43" fontId="2" fillId="2" borderId="2" xfId="1" applyFont="1" applyFill="1" applyBorder="1"/>
    <xf numFmtId="0" fontId="5" fillId="0" borderId="8" xfId="0" applyFont="1" applyFill="1" applyBorder="1"/>
    <xf numFmtId="43" fontId="5" fillId="0" borderId="8" xfId="1" applyFont="1" applyFill="1" applyBorder="1"/>
    <xf numFmtId="9" fontId="5" fillId="0" borderId="8" xfId="2" applyFont="1" applyFill="1" applyBorder="1"/>
    <xf numFmtId="43" fontId="5" fillId="0" borderId="11" xfId="1" applyFont="1" applyFill="1" applyBorder="1"/>
    <xf numFmtId="0" fontId="5" fillId="0" borderId="10" xfId="0" applyFont="1" applyFill="1" applyBorder="1"/>
    <xf numFmtId="43" fontId="5" fillId="0" borderId="10" xfId="1" applyFont="1" applyFill="1" applyBorder="1"/>
    <xf numFmtId="9" fontId="5" fillId="0" borderId="10" xfId="2" applyFont="1" applyFill="1" applyBorder="1"/>
    <xf numFmtId="164" fontId="2" fillId="2" borderId="6" xfId="1" applyNumberFormat="1" applyFont="1" applyFill="1" applyBorder="1"/>
    <xf numFmtId="43" fontId="2" fillId="2" borderId="6" xfId="1" applyFont="1" applyFill="1" applyBorder="1"/>
    <xf numFmtId="43" fontId="2" fillId="2" borderId="5" xfId="1" applyFont="1" applyFill="1" applyBorder="1"/>
    <xf numFmtId="164" fontId="5" fillId="0" borderId="9" xfId="1" applyNumberFormat="1" applyFont="1" applyFill="1" applyBorder="1"/>
    <xf numFmtId="0" fontId="5" fillId="0" borderId="0" xfId="0" applyFont="1" applyFill="1"/>
    <xf numFmtId="164" fontId="5" fillId="0" borderId="0" xfId="1" applyNumberFormat="1" applyFont="1" applyFill="1"/>
    <xf numFmtId="164" fontId="2" fillId="0" borderId="0" xfId="1" applyNumberFormat="1" applyFont="1" applyFill="1"/>
    <xf numFmtId="43" fontId="5" fillId="0" borderId="0" xfId="1" applyFont="1" applyFill="1"/>
    <xf numFmtId="9" fontId="5" fillId="0" borderId="0" xfId="2" applyFont="1" applyFill="1"/>
    <xf numFmtId="43" fontId="2" fillId="0" borderId="0" xfId="1" applyFont="1" applyFill="1"/>
    <xf numFmtId="164" fontId="6" fillId="3" borderId="12" xfId="1" applyNumberFormat="1" applyFont="1" applyFill="1" applyBorder="1"/>
    <xf numFmtId="43" fontId="6" fillId="3" borderId="12" xfId="1" applyFont="1" applyFill="1" applyBorder="1"/>
    <xf numFmtId="43" fontId="7" fillId="0" borderId="0" xfId="1" applyFont="1" applyFill="1" applyBorder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left"/>
    </xf>
    <xf numFmtId="0" fontId="4" fillId="0" borderId="7" xfId="0" applyFont="1" applyFill="1" applyBorder="1" applyAlignment="1"/>
    <xf numFmtId="164" fontId="5" fillId="0" borderId="10" xfId="1" applyNumberFormat="1" applyFont="1" applyFill="1" applyBorder="1"/>
    <xf numFmtId="164" fontId="5" fillId="0" borderId="8" xfId="1" applyNumberFormat="1" applyFont="1" applyFill="1" applyBorder="1"/>
    <xf numFmtId="9" fontId="2" fillId="2" borderId="2" xfId="2" applyFont="1" applyFill="1" applyBorder="1"/>
    <xf numFmtId="0" fontId="8" fillId="0" borderId="7" xfId="0" applyFont="1" applyFill="1" applyBorder="1" applyAlignment="1">
      <alignment horizontal="center" vertical="center"/>
    </xf>
    <xf numFmtId="0" fontId="0" fillId="0" borderId="0" xfId="0" applyFont="1"/>
    <xf numFmtId="164" fontId="2" fillId="2" borderId="5" xfId="1" applyNumberFormat="1" applyFont="1" applyFill="1" applyBorder="1"/>
    <xf numFmtId="0" fontId="5" fillId="0" borderId="0" xfId="0" applyFont="1" applyFill="1" applyAlignment="1">
      <alignment horizontal="left" vertical="center"/>
    </xf>
    <xf numFmtId="0" fontId="0" fillId="0" borderId="0" xfId="0" applyFont="1" applyFill="1"/>
    <xf numFmtId="43" fontId="0" fillId="0" borderId="0" xfId="0" applyNumberFormat="1" applyFont="1"/>
    <xf numFmtId="0" fontId="5" fillId="0" borderId="15" xfId="0" applyFont="1" applyFill="1" applyBorder="1"/>
    <xf numFmtId="164" fontId="5" fillId="0" borderId="15" xfId="1" applyNumberFormat="1" applyFont="1" applyFill="1" applyBorder="1"/>
    <xf numFmtId="43" fontId="5" fillId="0" borderId="15" xfId="1" applyFont="1" applyFill="1" applyBorder="1"/>
    <xf numFmtId="0" fontId="5" fillId="4" borderId="8" xfId="0" applyFont="1" applyFill="1" applyBorder="1"/>
    <xf numFmtId="164" fontId="5" fillId="4" borderId="8" xfId="1" applyNumberFormat="1" applyFont="1" applyFill="1" applyBorder="1"/>
    <xf numFmtId="43" fontId="5" fillId="4" borderId="8" xfId="1" applyFont="1" applyFill="1" applyBorder="1"/>
    <xf numFmtId="9" fontId="5" fillId="4" borderId="8" xfId="2" applyFont="1" applyFill="1" applyBorder="1"/>
    <xf numFmtId="0" fontId="5" fillId="0" borderId="9" xfId="0" applyFont="1" applyFill="1" applyBorder="1" applyAlignment="1">
      <alignment horizontal="left"/>
    </xf>
    <xf numFmtId="43" fontId="11" fillId="0" borderId="9" xfId="1" applyFont="1" applyFill="1" applyBorder="1"/>
    <xf numFmtId="0" fontId="5" fillId="0" borderId="9" xfId="0" applyFont="1" applyFill="1" applyBorder="1" applyAlignment="1"/>
    <xf numFmtId="0" fontId="5" fillId="0" borderId="10" xfId="0" applyFont="1" applyFill="1" applyBorder="1" applyAlignment="1">
      <alignment horizontal="left"/>
    </xf>
    <xf numFmtId="0" fontId="5" fillId="0" borderId="9" xfId="3" applyFont="1" applyFill="1" applyBorder="1" applyAlignment="1">
      <alignment horizontal="left"/>
    </xf>
    <xf numFmtId="164" fontId="5" fillId="0" borderId="9" xfId="1" applyNumberFormat="1" applyFont="1" applyFill="1" applyBorder="1" applyAlignment="1">
      <alignment horizontal="right"/>
    </xf>
    <xf numFmtId="0" fontId="5" fillId="0" borderId="10" xfId="3" applyFont="1" applyFill="1" applyBorder="1"/>
    <xf numFmtId="43" fontId="11" fillId="0" borderId="10" xfId="1" applyFont="1" applyFill="1" applyBorder="1"/>
    <xf numFmtId="164" fontId="5" fillId="0" borderId="9" xfId="1" applyNumberFormat="1" applyFont="1" applyFill="1" applyBorder="1" applyAlignment="1">
      <alignment vertical="center"/>
    </xf>
    <xf numFmtId="0" fontId="9" fillId="0" borderId="0" xfId="0" applyFont="1"/>
    <xf numFmtId="0" fontId="5" fillId="0" borderId="15" xfId="3" applyFont="1" applyFill="1" applyBorder="1" applyAlignment="1">
      <alignment horizontal="left"/>
    </xf>
    <xf numFmtId="0" fontId="5" fillId="0" borderId="5" xfId="0" applyFont="1" applyFill="1" applyBorder="1"/>
    <xf numFmtId="164" fontId="5" fillId="0" borderId="5" xfId="1" applyNumberFormat="1" applyFont="1" applyFill="1" applyBorder="1"/>
    <xf numFmtId="43" fontId="5" fillId="0" borderId="5" xfId="1" applyFont="1" applyFill="1" applyBorder="1"/>
    <xf numFmtId="43" fontId="10" fillId="5" borderId="9" xfId="1" applyFont="1" applyFill="1" applyBorder="1"/>
    <xf numFmtId="0" fontId="12" fillId="0" borderId="0" xfId="0" applyFont="1"/>
    <xf numFmtId="43" fontId="5" fillId="4" borderId="1" xfId="1" applyFont="1" applyFill="1" applyBorder="1"/>
    <xf numFmtId="9" fontId="5" fillId="0" borderId="15" xfId="2" applyFont="1" applyFill="1" applyBorder="1"/>
    <xf numFmtId="43" fontId="11" fillId="0" borderId="15" xfId="1" applyFont="1" applyFill="1" applyBorder="1"/>
    <xf numFmtId="0" fontId="9" fillId="0" borderId="10" xfId="0" applyFont="1" applyFill="1" applyBorder="1" applyAlignment="1">
      <alignment vertical="center"/>
    </xf>
    <xf numFmtId="0" fontId="9" fillId="0" borderId="11" xfId="0" applyFont="1" applyFill="1" applyBorder="1"/>
    <xf numFmtId="0" fontId="5" fillId="0" borderId="11" xfId="0" applyFont="1" applyFill="1" applyBorder="1"/>
    <xf numFmtId="9" fontId="2" fillId="2" borderId="5" xfId="2" applyFont="1" applyFill="1" applyBorder="1"/>
    <xf numFmtId="9" fontId="6" fillId="3" borderId="12" xfId="1" applyNumberFormat="1" applyFont="1" applyFill="1" applyBorder="1"/>
    <xf numFmtId="43" fontId="11" fillId="0" borderId="8" xfId="1" applyFont="1" applyFill="1" applyBorder="1"/>
    <xf numFmtId="43" fontId="13" fillId="2" borderId="2" xfId="1" applyFont="1" applyFill="1" applyBorder="1"/>
    <xf numFmtId="0" fontId="5" fillId="0" borderId="15" xfId="0" applyFont="1" applyFill="1" applyBorder="1" applyAlignment="1">
      <alignment horizontal="left"/>
    </xf>
    <xf numFmtId="164" fontId="11" fillId="0" borderId="15" xfId="1" applyNumberFormat="1" applyFont="1" applyFill="1" applyBorder="1"/>
    <xf numFmtId="43" fontId="10" fillId="5" borderId="10" xfId="1" applyFont="1" applyFill="1" applyBorder="1"/>
    <xf numFmtId="43" fontId="13" fillId="2" borderId="5" xfId="1" applyFont="1" applyFill="1" applyBorder="1"/>
    <xf numFmtId="0" fontId="9" fillId="0" borderId="9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43" fontId="10" fillId="5" borderId="6" xfId="1" applyFont="1" applyFill="1" applyBorder="1"/>
    <xf numFmtId="0" fontId="2" fillId="0" borderId="0" xfId="0" applyFont="1" applyFill="1" applyAlignment="1">
      <alignment horizontal="center"/>
    </xf>
    <xf numFmtId="0" fontId="9" fillId="0" borderId="15" xfId="0" applyFont="1" applyFill="1" applyBorder="1" applyAlignment="1">
      <alignment horizontal="left" vertical="center"/>
    </xf>
    <xf numFmtId="43" fontId="0" fillId="0" borderId="0" xfId="0" applyNumberFormat="1" applyFont="1" applyFill="1"/>
    <xf numFmtId="0" fontId="5" fillId="0" borderId="16" xfId="0" applyFont="1" applyFill="1" applyBorder="1" applyAlignment="1">
      <alignment horizontal="left"/>
    </xf>
    <xf numFmtId="0" fontId="5" fillId="0" borderId="17" xfId="0" applyFont="1" applyFill="1" applyBorder="1" applyAlignment="1">
      <alignment horizontal="left"/>
    </xf>
    <xf numFmtId="43" fontId="0" fillId="0" borderId="0" xfId="1" applyFont="1"/>
    <xf numFmtId="43" fontId="11" fillId="4" borderId="8" xfId="1" applyFont="1" applyFill="1" applyBorder="1"/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3" fontId="2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eetha\Desktop\To%20Suneetha\Discount%20-%202013%20&amp;%202014%20&amp;%202015\2016\Normal%20Discount%202016\Discount%20January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o%20Suneetha\Discount%20-%202013%20&amp;%202014%20&amp;%202015\2015\Normal%20Discount%202015\Discount%20September%20%20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To%20Suneetha\Discount%20-%202013%20&amp;%202014%20&amp;%202015\2015\Normal%20Discount%202015\Discount%20November%20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o%20Suneetha\Discount%20-%202013%20&amp;%202014%20&amp;%202015\2015\Normal%20Discount%202015\Discount%20August%20%2020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o%20Suneetha\Discount%20-%202013%20&amp;%202014%20&amp;%202015\2015\Normal%20Discount%202015\Discount%20October%20%20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 2016"/>
      <sheetName val="Total"/>
      <sheetName val="Homagama January"/>
      <sheetName val="Homagama"/>
      <sheetName val="15%"/>
    </sheetNames>
    <sheetDataSet>
      <sheetData sheetId="0" refreshError="1"/>
      <sheetData sheetId="1" refreshError="1">
        <row r="4">
          <cell r="D4">
            <v>163114.5</v>
          </cell>
        </row>
        <row r="5">
          <cell r="D5">
            <v>51968.6</v>
          </cell>
        </row>
        <row r="6">
          <cell r="D6">
            <v>28412.37</v>
          </cell>
        </row>
        <row r="7">
          <cell r="D7">
            <v>27691.300000000003</v>
          </cell>
        </row>
        <row r="8">
          <cell r="D8">
            <v>41636</v>
          </cell>
        </row>
        <row r="9">
          <cell r="D9">
            <v>36885.599999999999</v>
          </cell>
        </row>
        <row r="10">
          <cell r="D10">
            <v>29408.6</v>
          </cell>
        </row>
        <row r="12">
          <cell r="D12">
            <v>43774.7</v>
          </cell>
        </row>
        <row r="13">
          <cell r="D13">
            <v>40921.199999999997</v>
          </cell>
        </row>
        <row r="14">
          <cell r="D14">
            <v>3433</v>
          </cell>
        </row>
        <row r="15">
          <cell r="D15">
            <v>16702.599999999999</v>
          </cell>
        </row>
        <row r="16">
          <cell r="B16" t="str">
            <v>Kuliyapitiya</v>
          </cell>
          <cell r="C16" t="str">
            <v>T.R.Distributor</v>
          </cell>
          <cell r="D16">
            <v>35162</v>
          </cell>
        </row>
        <row r="17">
          <cell r="D17">
            <v>23758</v>
          </cell>
        </row>
        <row r="18">
          <cell r="D18">
            <v>17054.400000000001</v>
          </cell>
        </row>
        <row r="20">
          <cell r="D20">
            <v>83104.600000000006</v>
          </cell>
        </row>
        <row r="21">
          <cell r="D21">
            <v>45994</v>
          </cell>
        </row>
        <row r="22">
          <cell r="D22">
            <v>86183.28</v>
          </cell>
        </row>
        <row r="23">
          <cell r="D23">
            <v>80395.960000000006</v>
          </cell>
        </row>
        <row r="25">
          <cell r="D25">
            <v>24379</v>
          </cell>
        </row>
        <row r="26">
          <cell r="D26">
            <v>31756.799999999999</v>
          </cell>
        </row>
        <row r="27">
          <cell r="D27">
            <v>82933</v>
          </cell>
        </row>
        <row r="28">
          <cell r="D28">
            <v>63003.68</v>
          </cell>
        </row>
        <row r="29">
          <cell r="D29">
            <v>3816</v>
          </cell>
        </row>
        <row r="30">
          <cell r="D30">
            <v>49872.480000000003</v>
          </cell>
        </row>
        <row r="31">
          <cell r="D31">
            <v>52312</v>
          </cell>
        </row>
        <row r="32">
          <cell r="D32">
            <v>49475.4</v>
          </cell>
        </row>
        <row r="33">
          <cell r="D33">
            <v>51596.160000000003</v>
          </cell>
        </row>
        <row r="35">
          <cell r="D35">
            <v>49152</v>
          </cell>
        </row>
        <row r="36">
          <cell r="D36">
            <v>65610.600000000006</v>
          </cell>
        </row>
        <row r="37">
          <cell r="D37">
            <v>45163.4</v>
          </cell>
        </row>
        <row r="38">
          <cell r="D38">
            <v>82822.2</v>
          </cell>
        </row>
        <row r="39">
          <cell r="D39">
            <v>45512.88</v>
          </cell>
        </row>
        <row r="40">
          <cell r="D40">
            <v>61148</v>
          </cell>
        </row>
        <row r="42">
          <cell r="D42">
            <v>4578</v>
          </cell>
        </row>
        <row r="43">
          <cell r="D43">
            <v>11515.14</v>
          </cell>
        </row>
        <row r="44">
          <cell r="D44">
            <v>47699.02</v>
          </cell>
        </row>
        <row r="45">
          <cell r="D45">
            <v>25827.119999999999</v>
          </cell>
        </row>
        <row r="46">
          <cell r="D46">
            <v>25481.8</v>
          </cell>
        </row>
        <row r="48">
          <cell r="D48">
            <v>8940</v>
          </cell>
        </row>
        <row r="49">
          <cell r="D49">
            <v>70092.600000000006</v>
          </cell>
        </row>
        <row r="50">
          <cell r="D50">
            <v>22285</v>
          </cell>
        </row>
        <row r="51">
          <cell r="D51">
            <v>37944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 2015"/>
      <sheetName val="Total"/>
      <sheetName val="15%"/>
    </sheetNames>
    <sheetDataSet>
      <sheetData sheetId="0" refreshError="1"/>
      <sheetData sheetId="1" refreshError="1">
        <row r="4">
          <cell r="D4">
            <v>144448.25</v>
          </cell>
        </row>
        <row r="17">
          <cell r="B17" t="str">
            <v>Puttalam</v>
          </cell>
          <cell r="C17" t="str">
            <v>Mr.G.M.S.R.Sajith Kumara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Wattala"/>
      <sheetName val="15%"/>
      <sheetName val="November  2015"/>
    </sheetNames>
    <sheetDataSet>
      <sheetData sheetId="0" refreshError="1">
        <row r="4">
          <cell r="D4">
            <v>126073.65</v>
          </cell>
        </row>
        <row r="28">
          <cell r="B28" t="str">
            <v>Ambalangoda</v>
          </cell>
          <cell r="C28" t="str">
            <v>Mr.W.B.P. Mendis</v>
          </cell>
        </row>
        <row r="35">
          <cell r="C35" t="str">
            <v>H.S.Enterprises (pvt) Ltd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15"/>
      <sheetName val="Total"/>
      <sheetName val="15%"/>
    </sheetNames>
    <sheetDataSet>
      <sheetData sheetId="0" refreshError="1"/>
      <sheetData sheetId="1" refreshError="1">
        <row r="4">
          <cell r="D4">
            <v>150507.93</v>
          </cell>
        </row>
        <row r="39">
          <cell r="B39" t="str">
            <v>Mahiyanganaya</v>
          </cell>
          <cell r="C39" t="str">
            <v>Manjula Distributor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 2015"/>
      <sheetName val="Total"/>
      <sheetName val="15%"/>
    </sheetNames>
    <sheetDataSet>
      <sheetData sheetId="0" refreshError="1"/>
      <sheetData sheetId="1" refreshError="1">
        <row r="4">
          <cell r="D4">
            <v>148615.59</v>
          </cell>
        </row>
        <row r="48">
          <cell r="C48" t="str">
            <v>Alex Distributor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3"/>
  <sheetViews>
    <sheetView tabSelected="1" workbookViewId="0">
      <pane xSplit="1" ySplit="3" topLeftCell="G4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ColWidth="9.140625" defaultRowHeight="15" x14ac:dyDescent="0.25"/>
  <cols>
    <col min="1" max="1" width="23.28515625" style="37" customWidth="1"/>
    <col min="2" max="2" width="40.5703125" style="37" bestFit="1" customWidth="1"/>
    <col min="3" max="3" width="12" style="37" customWidth="1"/>
    <col min="4" max="4" width="16" style="37" customWidth="1"/>
    <col min="5" max="5" width="17.85546875" style="37" customWidth="1"/>
    <col min="6" max="6" width="9.42578125" style="37" bestFit="1" customWidth="1"/>
    <col min="7" max="7" width="16" style="37" bestFit="1" customWidth="1"/>
    <col min="8" max="8" width="14.5703125" style="37" customWidth="1"/>
    <col min="9" max="9" width="15.140625" style="37" customWidth="1"/>
    <col min="10" max="10" width="15.7109375" style="37" bestFit="1" customWidth="1"/>
    <col min="11" max="11" width="13.140625" style="37" customWidth="1"/>
    <col min="12" max="16384" width="9.140625" style="37"/>
  </cols>
  <sheetData>
    <row r="1" spans="1:11" ht="33" x14ac:dyDescent="0.25">
      <c r="A1" s="91" t="s">
        <v>97</v>
      </c>
      <c r="B1" s="91"/>
      <c r="C1" s="91"/>
      <c r="D1" s="91"/>
      <c r="E1" s="91"/>
      <c r="F1" s="91"/>
      <c r="G1" s="91"/>
      <c r="H1" s="91"/>
      <c r="I1" s="91"/>
      <c r="J1" s="91"/>
    </row>
    <row r="2" spans="1:11" ht="30" x14ac:dyDescent="0.35">
      <c r="A2" s="36"/>
      <c r="B2" s="36"/>
      <c r="C2" s="36"/>
      <c r="D2" s="36"/>
      <c r="E2" s="36"/>
      <c r="F2" s="36"/>
      <c r="G2" s="36"/>
      <c r="H2" s="32"/>
      <c r="I2" s="32"/>
      <c r="J2" s="32"/>
    </row>
    <row r="3" spans="1:11" ht="78.75" x14ac:dyDescent="0.25">
      <c r="A3" s="1" t="s">
        <v>72</v>
      </c>
      <c r="B3" s="1" t="s">
        <v>0</v>
      </c>
      <c r="C3" s="2" t="s">
        <v>86</v>
      </c>
      <c r="D3" s="2" t="s">
        <v>85</v>
      </c>
      <c r="E3" s="2" t="s">
        <v>28</v>
      </c>
      <c r="F3" s="4" t="s">
        <v>1</v>
      </c>
      <c r="G3" s="2" t="s">
        <v>91</v>
      </c>
      <c r="H3" s="3" t="s">
        <v>99</v>
      </c>
      <c r="I3" s="3" t="s">
        <v>65</v>
      </c>
      <c r="J3" s="3" t="s">
        <v>87</v>
      </c>
    </row>
    <row r="4" spans="1:11" ht="15.75" x14ac:dyDescent="0.25">
      <c r="A4" s="45" t="s">
        <v>56</v>
      </c>
      <c r="B4" s="45" t="s">
        <v>49</v>
      </c>
      <c r="C4" s="46">
        <v>2075</v>
      </c>
      <c r="D4" s="46">
        <f>357+14+545+94+27+187+907+6</f>
        <v>2137</v>
      </c>
      <c r="E4" s="65">
        <f>(357*1776)+(14*1296)+(545*1272)+(94*1350)+(27*990)+(187*1080)+(907*1188)+(6*888)+(0*1467)</f>
        <v>2783850</v>
      </c>
      <c r="F4" s="48">
        <v>0.5</v>
      </c>
      <c r="G4" s="47">
        <f>E4*F4</f>
        <v>1391925</v>
      </c>
      <c r="H4" s="47">
        <f t="shared" ref="H4:H10" si="0">G4*12%</f>
        <v>167031</v>
      </c>
      <c r="I4" s="47">
        <f>[1]Total!$D$4</f>
        <v>163114.5</v>
      </c>
      <c r="J4" s="88">
        <f t="shared" ref="J4:J10" si="1">MIN(H4,I4)</f>
        <v>163114.5</v>
      </c>
      <c r="K4" s="41">
        <f t="shared" ref="K4:K50" si="2">I4-J4</f>
        <v>0</v>
      </c>
    </row>
    <row r="5" spans="1:11" ht="15.75" x14ac:dyDescent="0.25">
      <c r="A5" s="49" t="s">
        <v>20</v>
      </c>
      <c r="B5" s="5" t="s">
        <v>51</v>
      </c>
      <c r="C5" s="20">
        <v>1500</v>
      </c>
      <c r="D5" s="20">
        <f>160+6+302+41+11+49+375+6+2</f>
        <v>952</v>
      </c>
      <c r="E5" s="6">
        <f>(160*1776)+(6*1296)+(302*1272)+(41*1350)+(11*990)+(49*1080)+(375*1188)+(6*888)+(2*1467)</f>
        <v>1249002</v>
      </c>
      <c r="F5" s="7">
        <v>0.35</v>
      </c>
      <c r="G5" s="6">
        <f>E5*F5</f>
        <v>437150.69999999995</v>
      </c>
      <c r="H5" s="6">
        <f t="shared" si="0"/>
        <v>52458.083999999995</v>
      </c>
      <c r="I5" s="6">
        <f>[1]Total!$D$5</f>
        <v>51968.6</v>
      </c>
      <c r="J5" s="50">
        <f t="shared" si="1"/>
        <v>51968.6</v>
      </c>
      <c r="K5" s="41">
        <f t="shared" si="2"/>
        <v>0</v>
      </c>
    </row>
    <row r="6" spans="1:11" ht="15.75" x14ac:dyDescent="0.25">
      <c r="A6" s="49" t="s">
        <v>53</v>
      </c>
      <c r="B6" s="79" t="s">
        <v>88</v>
      </c>
      <c r="C6" s="20">
        <v>1025</v>
      </c>
      <c r="D6" s="20">
        <f>145+23+88+21+13+66+151+18</f>
        <v>525</v>
      </c>
      <c r="E6" s="6">
        <f>(145*1776)+(23*1296)+(88*1272)+(21*1350)+(13*990)+(66*1080)+(151*1188)+(18*888)+(0*1467)</f>
        <v>707136</v>
      </c>
      <c r="F6" s="7">
        <v>0.35</v>
      </c>
      <c r="G6" s="6">
        <f>F6*E6</f>
        <v>247497.59999999998</v>
      </c>
      <c r="H6" s="6">
        <f t="shared" si="0"/>
        <v>29699.711999999996</v>
      </c>
      <c r="I6" s="6">
        <f>[1]Total!$D$6</f>
        <v>28412.37</v>
      </c>
      <c r="J6" s="50">
        <f t="shared" si="1"/>
        <v>28412.37</v>
      </c>
      <c r="K6" s="41">
        <f t="shared" si="2"/>
        <v>0</v>
      </c>
    </row>
    <row r="7" spans="1:11" ht="15.75" x14ac:dyDescent="0.25">
      <c r="A7" s="49" t="s">
        <v>26</v>
      </c>
      <c r="B7" s="51" t="s">
        <v>48</v>
      </c>
      <c r="C7" s="20">
        <v>1823</v>
      </c>
      <c r="D7" s="20">
        <f>135+42+167+39+84+99+631+19+4</f>
        <v>1220</v>
      </c>
      <c r="E7" s="6">
        <f>(135*1776)+(42*1296)+(167*1272)+(39*1350)+(84*990)+(99*1080)+(631*1188)+(19*888)+(4*1467)</f>
        <v>1521714</v>
      </c>
      <c r="F7" s="7">
        <v>0.35</v>
      </c>
      <c r="G7" s="6">
        <f>E7*F7</f>
        <v>532599.9</v>
      </c>
      <c r="H7" s="6">
        <f t="shared" si="0"/>
        <v>63911.987999999998</v>
      </c>
      <c r="I7" s="6">
        <f>[1]Total!$D$7</f>
        <v>27691.300000000003</v>
      </c>
      <c r="J7" s="50">
        <f t="shared" si="1"/>
        <v>27691.300000000003</v>
      </c>
      <c r="K7" s="41">
        <f t="shared" si="2"/>
        <v>0</v>
      </c>
    </row>
    <row r="8" spans="1:11" ht="15.75" x14ac:dyDescent="0.25">
      <c r="A8" s="49" t="s">
        <v>54</v>
      </c>
      <c r="B8" s="51" t="s">
        <v>55</v>
      </c>
      <c r="C8" s="20">
        <v>925</v>
      </c>
      <c r="D8" s="20">
        <f>317+3+100+15+59+37+186+13</f>
        <v>730</v>
      </c>
      <c r="E8" s="6">
        <f>(317*1776)+(3*1296)+(100*1272)+(15*1350)+(59*990)+(37*1080)+(186*1188)+(13*888)+(0*1467)</f>
        <v>1045212</v>
      </c>
      <c r="F8" s="7">
        <v>0.35</v>
      </c>
      <c r="G8" s="6">
        <f>E8*F8</f>
        <v>365824.19999999995</v>
      </c>
      <c r="H8" s="6">
        <f t="shared" si="0"/>
        <v>43898.903999999995</v>
      </c>
      <c r="I8" s="6">
        <f>[1]Total!$D$8</f>
        <v>41636</v>
      </c>
      <c r="J8" s="50">
        <f t="shared" si="1"/>
        <v>41636</v>
      </c>
      <c r="K8" s="41">
        <f t="shared" si="2"/>
        <v>0</v>
      </c>
    </row>
    <row r="9" spans="1:11" ht="15.75" x14ac:dyDescent="0.25">
      <c r="A9" s="75" t="s">
        <v>80</v>
      </c>
      <c r="B9" s="83" t="s">
        <v>96</v>
      </c>
      <c r="C9" s="43">
        <v>755</v>
      </c>
      <c r="D9" s="20">
        <f>396+3+116+5+43+256+7</f>
        <v>826</v>
      </c>
      <c r="E9" s="6">
        <f>(396*1776)+(3*1296)+(116*1272)+(0*1350)+(5*990)+(43*1080)+(256*1188)+(7*888)+(0*1467)</f>
        <v>1216470</v>
      </c>
      <c r="F9" s="7">
        <v>0.35</v>
      </c>
      <c r="G9" s="6">
        <f>E9*F9</f>
        <v>425764.5</v>
      </c>
      <c r="H9" s="6">
        <f t="shared" si="0"/>
        <v>51091.74</v>
      </c>
      <c r="I9" s="6">
        <f>[1]Total!$D$9</f>
        <v>36885.599999999999</v>
      </c>
      <c r="J9" s="50">
        <f t="shared" si="1"/>
        <v>36885.599999999999</v>
      </c>
      <c r="K9" s="41"/>
    </row>
    <row r="10" spans="1:11" ht="15.75" x14ac:dyDescent="0.25">
      <c r="A10" s="52" t="s">
        <v>2</v>
      </c>
      <c r="B10" s="14" t="s">
        <v>47</v>
      </c>
      <c r="C10" s="33">
        <v>860</v>
      </c>
      <c r="D10" s="33">
        <f>28+8+171+19+100+19+197+18</f>
        <v>560</v>
      </c>
      <c r="E10" s="13">
        <f>(28*1776)+(8*1296)+(171*1272)+(19*1350)+(100*990)+(19*1080)+(197*1188)+(18*888)</f>
        <v>672798</v>
      </c>
      <c r="F10" s="16">
        <v>0.35</v>
      </c>
      <c r="G10" s="15">
        <f>E10*F10</f>
        <v>235479.3</v>
      </c>
      <c r="H10" s="6">
        <f t="shared" si="0"/>
        <v>28257.515999999996</v>
      </c>
      <c r="I10" s="15">
        <f>[1]Total!$D$10</f>
        <v>29408.6</v>
      </c>
      <c r="J10" s="77">
        <f t="shared" si="1"/>
        <v>28257.515999999996</v>
      </c>
      <c r="K10" s="41">
        <f t="shared" si="2"/>
        <v>1151.0840000000026</v>
      </c>
    </row>
    <row r="11" spans="1:11" ht="15.75" x14ac:dyDescent="0.25">
      <c r="A11" s="89" t="s">
        <v>22</v>
      </c>
      <c r="B11" s="90"/>
      <c r="C11" s="8">
        <f>SUM(C4:C10)</f>
        <v>8963</v>
      </c>
      <c r="D11" s="8">
        <f>SUM(D4:D10)</f>
        <v>6950</v>
      </c>
      <c r="E11" s="9">
        <f>SUM(E4:E10)</f>
        <v>9196182</v>
      </c>
      <c r="F11" s="35">
        <v>0.12</v>
      </c>
      <c r="G11" s="9">
        <f>SUM(G4:G10)</f>
        <v>3636241.1999999993</v>
      </c>
      <c r="H11" s="9">
        <f>SUM(H4:H10)</f>
        <v>436348.94399999996</v>
      </c>
      <c r="I11" s="9">
        <f>SUM(I4:I10)</f>
        <v>379116.97</v>
      </c>
      <c r="J11" s="74">
        <f>SUM(J4:J10)</f>
        <v>377965.886</v>
      </c>
      <c r="K11" s="41"/>
    </row>
    <row r="12" spans="1:11" s="40" customFormat="1" ht="15.75" x14ac:dyDescent="0.25">
      <c r="A12" s="70" t="s">
        <v>82</v>
      </c>
      <c r="B12" s="69" t="s">
        <v>76</v>
      </c>
      <c r="C12" s="20">
        <v>753</v>
      </c>
      <c r="D12" s="20">
        <f>12+6+306+34+20+89+243+12</f>
        <v>722</v>
      </c>
      <c r="E12" s="6">
        <f>(12*1776)+(6*1296)+(306*1272)+(34*1350)+(20*990)+(89*1080)+(243*1188)+(12*888)</f>
        <v>879480</v>
      </c>
      <c r="F12" s="7">
        <v>0.35</v>
      </c>
      <c r="G12" s="6">
        <f t="shared" ref="G12:G18" si="3">E12*F12</f>
        <v>307818</v>
      </c>
      <c r="H12" s="6">
        <f t="shared" ref="H12:H18" si="4">G12*12%</f>
        <v>36938.159999999996</v>
      </c>
      <c r="I12" s="62">
        <f>[1]Total!$D$12</f>
        <v>43774.7</v>
      </c>
      <c r="J12" s="63">
        <f t="shared" ref="J12:J18" si="5">MIN(H12,I12)</f>
        <v>36938.159999999996</v>
      </c>
      <c r="K12" s="41">
        <f t="shared" si="2"/>
        <v>6836.5400000000009</v>
      </c>
    </row>
    <row r="13" spans="1:11" s="40" customFormat="1" ht="15.75" x14ac:dyDescent="0.25">
      <c r="A13" s="69" t="s">
        <v>79</v>
      </c>
      <c r="B13" s="80" t="s">
        <v>89</v>
      </c>
      <c r="C13" s="20">
        <v>760</v>
      </c>
      <c r="D13" s="20">
        <f>20+7+230+39+16+51+306+7</f>
        <v>676</v>
      </c>
      <c r="E13" s="6">
        <f>(20*1776)+(7*1296)+(230*1272)+(39*1350)+(16*990)+(51*1080)+(306*1188)+(7*888)</f>
        <v>830466</v>
      </c>
      <c r="F13" s="7">
        <v>0.35</v>
      </c>
      <c r="G13" s="6">
        <f t="shared" si="3"/>
        <v>290663.09999999998</v>
      </c>
      <c r="H13" s="6">
        <f t="shared" si="4"/>
        <v>34879.571999999993</v>
      </c>
      <c r="I13" s="6">
        <f>[1]Total!$D$13</f>
        <v>40921.199999999997</v>
      </c>
      <c r="J13" s="63">
        <f>MIN(H13,I13)</f>
        <v>34879.571999999993</v>
      </c>
      <c r="K13" s="41">
        <f t="shared" si="2"/>
        <v>6041.6280000000042</v>
      </c>
    </row>
    <row r="14" spans="1:11" s="40" customFormat="1" ht="15.75" x14ac:dyDescent="0.25">
      <c r="A14" s="53" t="s">
        <v>50</v>
      </c>
      <c r="B14" s="5" t="s">
        <v>66</v>
      </c>
      <c r="C14" s="54">
        <v>260</v>
      </c>
      <c r="D14" s="20">
        <f>74+5+3+47+195</f>
        <v>324</v>
      </c>
      <c r="E14" s="6">
        <f>(0*1776)+(0*1296)+(74*1272)+(5*1350)+(3*990)+(47*1080)+(195*1188)+(0*888)</f>
        <v>386268</v>
      </c>
      <c r="F14" s="7">
        <v>0.35</v>
      </c>
      <c r="G14" s="6">
        <f t="shared" si="3"/>
        <v>135193.79999999999</v>
      </c>
      <c r="H14" s="6">
        <f t="shared" si="4"/>
        <v>16223.255999999998</v>
      </c>
      <c r="I14" s="6">
        <f>[1]Total!$D$14</f>
        <v>3433</v>
      </c>
      <c r="J14" s="50">
        <f t="shared" si="5"/>
        <v>3433</v>
      </c>
      <c r="K14" s="41">
        <f t="shared" si="2"/>
        <v>0</v>
      </c>
    </row>
    <row r="15" spans="1:11" s="40" customFormat="1" ht="15.75" x14ac:dyDescent="0.25">
      <c r="A15" s="53" t="s">
        <v>62</v>
      </c>
      <c r="B15" s="5" t="s">
        <v>83</v>
      </c>
      <c r="C15" s="54">
        <v>755</v>
      </c>
      <c r="D15" s="20">
        <f>44+124+29+10+20+93+2</f>
        <v>322</v>
      </c>
      <c r="E15" s="6">
        <f>(44*1776)+(0*1296)+(124*1272)+(29*1350)+(10*990)+(20*1080)+(93*1188)+(2*888)</f>
        <v>418782</v>
      </c>
      <c r="F15" s="7">
        <v>0.35</v>
      </c>
      <c r="G15" s="6">
        <f t="shared" si="3"/>
        <v>146573.69999999998</v>
      </c>
      <c r="H15" s="6">
        <f t="shared" si="4"/>
        <v>17588.843999999997</v>
      </c>
      <c r="I15" s="6">
        <f>[1]Total!$D$15</f>
        <v>16702.599999999999</v>
      </c>
      <c r="J15" s="50">
        <f t="shared" si="5"/>
        <v>16702.599999999999</v>
      </c>
      <c r="K15" s="41">
        <f t="shared" si="2"/>
        <v>0</v>
      </c>
    </row>
    <row r="16" spans="1:11" s="40" customFormat="1" ht="15.75" x14ac:dyDescent="0.25">
      <c r="A16" s="59" t="str">
        <f>[1]Total!$B$16</f>
        <v>Kuliyapitiya</v>
      </c>
      <c r="B16" s="42" t="str">
        <f>[1]Total!$C$16</f>
        <v>T.R.Distributor</v>
      </c>
      <c r="C16" s="54">
        <v>800</v>
      </c>
      <c r="D16" s="20">
        <f>209+55+61+42+386</f>
        <v>753</v>
      </c>
      <c r="E16" s="6">
        <f>(0*1776)+(0*1296)+(209*1272)+(55*1350)+(61*990)+(42*1080)+(386*1188)+(0*888)</f>
        <v>904416</v>
      </c>
      <c r="F16" s="7">
        <v>0.35</v>
      </c>
      <c r="G16" s="6">
        <f t="shared" ref="G16" si="6">E16*F16</f>
        <v>316545.59999999998</v>
      </c>
      <c r="H16" s="6">
        <f t="shared" ref="H16" si="7">G16*12%</f>
        <v>37985.471999999994</v>
      </c>
      <c r="I16" s="6">
        <f>[1]Total!$D$16</f>
        <v>35162</v>
      </c>
      <c r="J16" s="50">
        <f t="shared" si="5"/>
        <v>35162</v>
      </c>
      <c r="K16" s="41"/>
    </row>
    <row r="17" spans="1:11" s="40" customFormat="1" ht="15.75" x14ac:dyDescent="0.25">
      <c r="A17" s="59" t="str">
        <f>[2]Total!$B$17</f>
        <v>Puttalam</v>
      </c>
      <c r="B17" s="42" t="str">
        <f>[2]Total!$C$17</f>
        <v>Mr.G.M.S.R.Sajith Kumara</v>
      </c>
      <c r="C17" s="54">
        <v>560</v>
      </c>
      <c r="D17" s="20">
        <f>207+29+7+53+221</f>
        <v>517</v>
      </c>
      <c r="E17" s="6">
        <f>(0*1776)+(0*1296)+(207*1272)+(29*1350)+(7*990)+(53*1080)+(221*1188)+(0*888)</f>
        <v>629172</v>
      </c>
      <c r="F17" s="7">
        <v>0.35</v>
      </c>
      <c r="G17" s="6">
        <f t="shared" si="3"/>
        <v>220210.19999999998</v>
      </c>
      <c r="H17" s="6">
        <f t="shared" si="4"/>
        <v>26425.223999999998</v>
      </c>
      <c r="I17" s="6">
        <f>[1]Total!$D$17</f>
        <v>23758</v>
      </c>
      <c r="J17" s="50">
        <f t="shared" si="5"/>
        <v>23758</v>
      </c>
      <c r="K17" s="41"/>
    </row>
    <row r="18" spans="1:11" s="40" customFormat="1" ht="15.75" x14ac:dyDescent="0.25">
      <c r="A18" s="55" t="s">
        <v>61</v>
      </c>
      <c r="B18" s="14" t="s">
        <v>46</v>
      </c>
      <c r="C18" s="33">
        <v>600</v>
      </c>
      <c r="D18" s="33">
        <f>78+18+15+21+201+3</f>
        <v>336</v>
      </c>
      <c r="E18" s="6">
        <f>(0*1776)+(0*1296)+(78*1272)+(18*1350)+(15*990)+(21*1080)+(201*1188)+(3*888)</f>
        <v>402498</v>
      </c>
      <c r="F18" s="16">
        <v>0.35</v>
      </c>
      <c r="G18" s="15">
        <f t="shared" si="3"/>
        <v>140874.29999999999</v>
      </c>
      <c r="H18" s="15">
        <f t="shared" si="4"/>
        <v>16904.915999999997</v>
      </c>
      <c r="I18" s="15">
        <f>[1]Total!$D$18</f>
        <v>17054.400000000001</v>
      </c>
      <c r="J18" s="81">
        <f t="shared" si="5"/>
        <v>16904.915999999997</v>
      </c>
      <c r="K18" s="41">
        <f t="shared" si="2"/>
        <v>149.48400000000402</v>
      </c>
    </row>
    <row r="19" spans="1:11" ht="15.75" x14ac:dyDescent="0.25">
      <c r="A19" s="89" t="s">
        <v>23</v>
      </c>
      <c r="B19" s="90"/>
      <c r="C19" s="8">
        <f>SUM(C12:C18)</f>
        <v>4488</v>
      </c>
      <c r="D19" s="8">
        <f>SUM(D12:D18)</f>
        <v>3650</v>
      </c>
      <c r="E19" s="9">
        <f>SUM(E12:E18)</f>
        <v>4451082</v>
      </c>
      <c r="F19" s="35">
        <v>0.12</v>
      </c>
      <c r="G19" s="9">
        <f>SUM(G12:G18)</f>
        <v>1557878.6999999997</v>
      </c>
      <c r="H19" s="9">
        <f>SUM(H12:H18)</f>
        <v>186945.44399999996</v>
      </c>
      <c r="I19" s="9">
        <f>SUM(I12:I18)</f>
        <v>180805.9</v>
      </c>
      <c r="J19" s="74">
        <f>SUM(J12:J18)</f>
        <v>167778.24799999999</v>
      </c>
      <c r="K19" s="41"/>
    </row>
    <row r="20" spans="1:11" s="40" customFormat="1" ht="15.75" x14ac:dyDescent="0.25">
      <c r="A20" s="60" t="s">
        <v>69</v>
      </c>
      <c r="B20" s="60" t="s">
        <v>70</v>
      </c>
      <c r="C20" s="61">
        <v>1500</v>
      </c>
      <c r="D20" s="61">
        <f>9+1+925+67+93+174+383+20</f>
        <v>1672</v>
      </c>
      <c r="E20" s="6">
        <f>(9*1776)+(1*1296)+(925*1272)+(67*1350)+(93*990)+(174*1080)+(383*1188)+(20*888)</f>
        <v>2037084</v>
      </c>
      <c r="F20" s="7">
        <v>0.35</v>
      </c>
      <c r="G20" s="6">
        <f>E20*F20</f>
        <v>712979.39999999991</v>
      </c>
      <c r="H20" s="6">
        <f>G20*12%</f>
        <v>85557.527999999991</v>
      </c>
      <c r="I20" s="62">
        <f>[1]Total!$D$20</f>
        <v>83104.600000000006</v>
      </c>
      <c r="J20" s="50">
        <f>MIN(H20,I20)</f>
        <v>83104.600000000006</v>
      </c>
      <c r="K20" s="41">
        <f t="shared" si="2"/>
        <v>0</v>
      </c>
    </row>
    <row r="21" spans="1:11" s="40" customFormat="1" ht="15.75" x14ac:dyDescent="0.25">
      <c r="A21" s="5" t="s">
        <v>5</v>
      </c>
      <c r="B21" s="5" t="s">
        <v>30</v>
      </c>
      <c r="C21" s="20">
        <v>1300</v>
      </c>
      <c r="D21" s="20">
        <f>14+650+35+113+100+326+82</f>
        <v>1320</v>
      </c>
      <c r="E21" s="6">
        <f>(14*1776)+(0*1296)+(650*1272)+(35*1350)+(113*990)+(100*1080)+(326*1188)+(82*888)+(0*1467)</f>
        <v>1578888</v>
      </c>
      <c r="F21" s="7">
        <v>0.35</v>
      </c>
      <c r="G21" s="6">
        <f>E21*F21</f>
        <v>552610.79999999993</v>
      </c>
      <c r="H21" s="6">
        <f>G21*12%</f>
        <v>66313.295999999988</v>
      </c>
      <c r="I21" s="6">
        <f>[1]Total!$D$21</f>
        <v>45994</v>
      </c>
      <c r="J21" s="50">
        <f>MIN(H21,I21)</f>
        <v>45994</v>
      </c>
      <c r="K21" s="41">
        <f t="shared" si="2"/>
        <v>0</v>
      </c>
    </row>
    <row r="22" spans="1:11" s="40" customFormat="1" ht="15.75" x14ac:dyDescent="0.25">
      <c r="A22" s="5" t="s">
        <v>4</v>
      </c>
      <c r="B22" s="5" t="s">
        <v>63</v>
      </c>
      <c r="C22" s="20">
        <v>1300</v>
      </c>
      <c r="D22" s="20">
        <f>3+3+752+77+114+102+289+46+3</f>
        <v>1389</v>
      </c>
      <c r="E22" s="6">
        <f>(3*1776)+(3*1296)+(752*1272)+(77*1350)+(114*990)+(102*1080)+(289*1188)+(46*888)+(3*1467)</f>
        <v>1681311</v>
      </c>
      <c r="F22" s="7">
        <v>0.35</v>
      </c>
      <c r="G22" s="6">
        <f>E22*F22</f>
        <v>588458.85</v>
      </c>
      <c r="H22" s="6">
        <f>G22*12%</f>
        <v>70615.061999999991</v>
      </c>
      <c r="I22" s="6">
        <f>[1]Total!$D$22</f>
        <v>86183.28</v>
      </c>
      <c r="J22" s="63">
        <f>MIN(H22,I22)</f>
        <v>70615.061999999991</v>
      </c>
      <c r="K22" s="41">
        <f t="shared" si="2"/>
        <v>15568.218000000008</v>
      </c>
    </row>
    <row r="23" spans="1:11" s="40" customFormat="1" ht="15.75" x14ac:dyDescent="0.25">
      <c r="A23" s="14" t="s">
        <v>6</v>
      </c>
      <c r="B23" s="14" t="s">
        <v>45</v>
      </c>
      <c r="C23" s="33">
        <v>1301</v>
      </c>
      <c r="D23" s="33">
        <f>35+3+755+35+154+38+499+25</f>
        <v>1544</v>
      </c>
      <c r="E23" s="6">
        <f>(35*1776)+(3*1296)+(755*1272)+(35*1350)+(154*990)+(38*1080)+(499*1188)+(25*888)</f>
        <v>1882170</v>
      </c>
      <c r="F23" s="16">
        <v>0.35</v>
      </c>
      <c r="G23" s="15">
        <f>E23*F23</f>
        <v>658759.5</v>
      </c>
      <c r="H23" s="15">
        <f>G23*12%</f>
        <v>79051.14</v>
      </c>
      <c r="I23" s="15">
        <f>[1]Total!$D$23</f>
        <v>80395.960000000006</v>
      </c>
      <c r="J23" s="77">
        <f>MIN(H23,I23)</f>
        <v>79051.14</v>
      </c>
      <c r="K23" s="41">
        <f t="shared" si="2"/>
        <v>1344.820000000007</v>
      </c>
    </row>
    <row r="24" spans="1:11" ht="15.75" x14ac:dyDescent="0.25">
      <c r="A24" s="92" t="s">
        <v>24</v>
      </c>
      <c r="B24" s="92"/>
      <c r="C24" s="8">
        <f>SUM(C20:C23)</f>
        <v>5401</v>
      </c>
      <c r="D24" s="8">
        <f>SUM(D20:D23)</f>
        <v>5925</v>
      </c>
      <c r="E24" s="9">
        <f>SUM(E20:E23)</f>
        <v>7179453</v>
      </c>
      <c r="F24" s="35">
        <v>0.12</v>
      </c>
      <c r="G24" s="9">
        <f>SUM(G20:G23)</f>
        <v>2512808.5499999998</v>
      </c>
      <c r="H24" s="9">
        <f>SUM(H20:H23)</f>
        <v>301537.02599999995</v>
      </c>
      <c r="I24" s="9">
        <f>SUM(I20:I23)</f>
        <v>295677.84000000003</v>
      </c>
      <c r="J24" s="74">
        <f>SUM(J20:J23)</f>
        <v>278764.80200000003</v>
      </c>
      <c r="K24" s="41"/>
    </row>
    <row r="25" spans="1:11" s="40" customFormat="1" ht="15.75" x14ac:dyDescent="0.25">
      <c r="A25" s="10" t="s">
        <v>7</v>
      </c>
      <c r="B25" s="10" t="s">
        <v>44</v>
      </c>
      <c r="C25" s="34">
        <v>1400</v>
      </c>
      <c r="D25" s="20">
        <f>486+38+37+56+643+24</f>
        <v>1284</v>
      </c>
      <c r="E25" s="6">
        <f>(0*1776)+(0*1296)+(486*1272)+(38*1350)+(37*990)+(56*1080)+(643*1188)+(24*888)+(0*1467)</f>
        <v>1551798</v>
      </c>
      <c r="F25" s="12">
        <v>0.35</v>
      </c>
      <c r="G25" s="11">
        <f t="shared" ref="G25:G33" si="8">E25*F25</f>
        <v>543129.29999999993</v>
      </c>
      <c r="H25" s="11">
        <f t="shared" ref="H25:H33" si="9">G25*12%</f>
        <v>65175.515999999989</v>
      </c>
      <c r="I25" s="11">
        <f>[1]Total!$D$25</f>
        <v>24379</v>
      </c>
      <c r="J25" s="73">
        <f t="shared" ref="J25:J33" si="10">MIN(H25,I25)</f>
        <v>24379</v>
      </c>
      <c r="K25" s="41">
        <f t="shared" si="2"/>
        <v>0</v>
      </c>
    </row>
    <row r="26" spans="1:11" s="40" customFormat="1" ht="15.75" x14ac:dyDescent="0.25">
      <c r="A26" s="5" t="s">
        <v>8</v>
      </c>
      <c r="B26" s="5" t="s">
        <v>43</v>
      </c>
      <c r="C26" s="20">
        <v>1700</v>
      </c>
      <c r="D26" s="20">
        <f>412+29+19+278+1012+7</f>
        <v>1757</v>
      </c>
      <c r="E26" s="6">
        <f>(0*1776)+(0*1296)+(412*1272)+(29*1350)+(19*990)+(278*1080)+(1012*1188)+(0*888)+(7*1467)</f>
        <v>2094789</v>
      </c>
      <c r="F26" s="7">
        <v>0.35</v>
      </c>
      <c r="G26" s="6">
        <f t="shared" si="8"/>
        <v>733176.14999999991</v>
      </c>
      <c r="H26" s="6">
        <f t="shared" si="9"/>
        <v>87981.137999999992</v>
      </c>
      <c r="I26" s="6">
        <f>[1]Total!$D$26</f>
        <v>31756.799999999999</v>
      </c>
      <c r="J26" s="50">
        <f t="shared" si="10"/>
        <v>31756.799999999999</v>
      </c>
      <c r="K26" s="41">
        <f t="shared" si="2"/>
        <v>0</v>
      </c>
    </row>
    <row r="27" spans="1:11" s="40" customFormat="1" ht="15.75" x14ac:dyDescent="0.25">
      <c r="A27" s="5" t="s">
        <v>9</v>
      </c>
      <c r="B27" s="5" t="s">
        <v>42</v>
      </c>
      <c r="C27" s="20">
        <v>1513</v>
      </c>
      <c r="D27" s="20">
        <f>65+11+591+57+79+6+656+11+2</f>
        <v>1478</v>
      </c>
      <c r="E27" s="6">
        <f>(65*1776)+(11*1296)+(591*1272)+(57*1350)+(79*990)+(6*1080)+(656*1188)+(11*888)+(2*1467)</f>
        <v>1835118</v>
      </c>
      <c r="F27" s="7">
        <v>0.35</v>
      </c>
      <c r="G27" s="6">
        <f t="shared" si="8"/>
        <v>642291.29999999993</v>
      </c>
      <c r="H27" s="6">
        <f t="shared" si="9"/>
        <v>77074.955999999991</v>
      </c>
      <c r="I27" s="6">
        <f>[1]Total!$D$27</f>
        <v>82933</v>
      </c>
      <c r="J27" s="63">
        <f t="shared" si="10"/>
        <v>77074.955999999991</v>
      </c>
      <c r="K27" s="41">
        <f t="shared" si="2"/>
        <v>5858.044000000009</v>
      </c>
    </row>
    <row r="28" spans="1:11" s="40" customFormat="1" ht="15.75" x14ac:dyDescent="0.25">
      <c r="A28" s="5" t="s">
        <v>10</v>
      </c>
      <c r="B28" s="5" t="s">
        <v>33</v>
      </c>
      <c r="C28" s="20">
        <v>875</v>
      </c>
      <c r="D28" s="20">
        <f>33+4+539+7+39+5+474+5</f>
        <v>1106</v>
      </c>
      <c r="E28" s="6">
        <f>(33*1776)+(4*1296)+(539*1272)+(7*1350)+(39*990)+(5*1080)+(474*1188)+(5*888)</f>
        <v>1370412</v>
      </c>
      <c r="F28" s="7">
        <v>0.35</v>
      </c>
      <c r="G28" s="6">
        <f t="shared" si="8"/>
        <v>479644.19999999995</v>
      </c>
      <c r="H28" s="6">
        <f t="shared" si="9"/>
        <v>57557.303999999989</v>
      </c>
      <c r="I28" s="6">
        <f>[1]Total!$D$28</f>
        <v>63003.68</v>
      </c>
      <c r="J28" s="63">
        <f t="shared" si="10"/>
        <v>57557.303999999989</v>
      </c>
      <c r="K28" s="41">
        <f t="shared" si="2"/>
        <v>5446.3760000000111</v>
      </c>
    </row>
    <row r="29" spans="1:11" s="40" customFormat="1" ht="15.75" x14ac:dyDescent="0.25">
      <c r="A29" s="5" t="str">
        <f>[3]Total!$B$28</f>
        <v>Ambalangoda</v>
      </c>
      <c r="B29" s="5" t="str">
        <f>[3]Total!$C$28</f>
        <v>Mr.W.B.P. Mendis</v>
      </c>
      <c r="C29" s="20">
        <v>900</v>
      </c>
      <c r="D29" s="20">
        <f>153+18+12+86+706+2</f>
        <v>977</v>
      </c>
      <c r="E29" s="6">
        <f>(0*1776)+(0*1296)+(153*1272)+(18*1350)+(12*990)+(86*1080)+(706*1188)+(2*888)</f>
        <v>1164180</v>
      </c>
      <c r="F29" s="7">
        <v>0.35</v>
      </c>
      <c r="G29" s="6">
        <f t="shared" si="8"/>
        <v>407463</v>
      </c>
      <c r="H29" s="6">
        <f t="shared" si="9"/>
        <v>48895.56</v>
      </c>
      <c r="I29" s="6">
        <f>[1]Total!$D$29</f>
        <v>3816</v>
      </c>
      <c r="J29" s="50">
        <f t="shared" si="10"/>
        <v>3816</v>
      </c>
      <c r="K29" s="41"/>
    </row>
    <row r="30" spans="1:11" s="40" customFormat="1" ht="15.75" x14ac:dyDescent="0.25">
      <c r="A30" s="5" t="s">
        <v>73</v>
      </c>
      <c r="B30" s="5" t="s">
        <v>41</v>
      </c>
      <c r="C30" s="20">
        <v>1090</v>
      </c>
      <c r="D30" s="20">
        <f>1+12+478+12+98+96+327+15</f>
        <v>1039</v>
      </c>
      <c r="E30" s="6">
        <f>(1*1776)+(12*1296)+(478*1272)+(12*1350)+(98*990)+(96*1080)+(327*1188)+(15*888)</f>
        <v>1244040</v>
      </c>
      <c r="F30" s="7">
        <v>0.35</v>
      </c>
      <c r="G30" s="6">
        <f t="shared" si="8"/>
        <v>435414</v>
      </c>
      <c r="H30" s="6">
        <f>G30*12%</f>
        <v>52249.68</v>
      </c>
      <c r="I30" s="6">
        <f>[1]Total!$D$30</f>
        <v>49872.480000000003</v>
      </c>
      <c r="J30" s="50">
        <f t="shared" si="10"/>
        <v>49872.480000000003</v>
      </c>
      <c r="K30" s="41">
        <f t="shared" si="2"/>
        <v>0</v>
      </c>
    </row>
    <row r="31" spans="1:11" s="40" customFormat="1" ht="15.75" x14ac:dyDescent="0.25">
      <c r="A31" s="5" t="s">
        <v>74</v>
      </c>
      <c r="B31" s="5" t="s">
        <v>75</v>
      </c>
      <c r="C31" s="20">
        <v>952</v>
      </c>
      <c r="D31" s="20">
        <f>1+6+689+10+74+26+217+17+1</f>
        <v>1041</v>
      </c>
      <c r="E31" s="6">
        <f>(1*1776)+(6*1296)+(689*1272)+(10*1350)+(74*990)+(26*1080)+(217*1188)+(17*888)+(1*1467)</f>
        <v>1275159</v>
      </c>
      <c r="F31" s="7">
        <v>0.35</v>
      </c>
      <c r="G31" s="6">
        <f t="shared" si="8"/>
        <v>446305.64999999997</v>
      </c>
      <c r="H31" s="6">
        <f t="shared" si="9"/>
        <v>53556.677999999993</v>
      </c>
      <c r="I31" s="6">
        <f>[1]Total!$D$31</f>
        <v>52312</v>
      </c>
      <c r="J31" s="50">
        <f t="shared" si="10"/>
        <v>52312</v>
      </c>
      <c r="K31" s="41">
        <f t="shared" si="2"/>
        <v>0</v>
      </c>
    </row>
    <row r="32" spans="1:11" s="40" customFormat="1" ht="15.75" x14ac:dyDescent="0.25">
      <c r="A32" s="42" t="s">
        <v>29</v>
      </c>
      <c r="B32" s="42" t="s">
        <v>81</v>
      </c>
      <c r="C32" s="43">
        <v>950</v>
      </c>
      <c r="D32" s="43">
        <f>87+9+376+10+11+6+395+10</f>
        <v>904</v>
      </c>
      <c r="E32" s="6">
        <f>(87*1776)+(9*1296)+(376*1272)+(10*1350)+(11*990)+(6*1080)+(395*1188)+(10*888)</f>
        <v>1153458</v>
      </c>
      <c r="F32" s="7">
        <v>0.35</v>
      </c>
      <c r="G32" s="6">
        <f t="shared" si="8"/>
        <v>403710.3</v>
      </c>
      <c r="H32" s="6">
        <f t="shared" si="9"/>
        <v>48445.235999999997</v>
      </c>
      <c r="I32" s="6">
        <f>[1]Total!$D$32</f>
        <v>49475.4</v>
      </c>
      <c r="J32" s="63">
        <f t="shared" si="10"/>
        <v>48445.235999999997</v>
      </c>
      <c r="K32" s="41">
        <f t="shared" si="2"/>
        <v>1030.1640000000043</v>
      </c>
    </row>
    <row r="33" spans="1:11" s="40" customFormat="1" ht="15.75" x14ac:dyDescent="0.25">
      <c r="A33" s="14" t="s">
        <v>35</v>
      </c>
      <c r="B33" s="14" t="s">
        <v>40</v>
      </c>
      <c r="C33" s="33">
        <v>1589</v>
      </c>
      <c r="D33" s="33">
        <f>37+9+545+74+86+25+592+19</f>
        <v>1387</v>
      </c>
      <c r="E33" s="44">
        <f>(37*1776)+(9*1296)+(545*1272)+(74*1350)+(86*990)+(25*1080)+(592*1188)+(19*888)</f>
        <v>1702824</v>
      </c>
      <c r="F33" s="16">
        <v>0.35</v>
      </c>
      <c r="G33" s="15">
        <f t="shared" si="8"/>
        <v>595988.39999999991</v>
      </c>
      <c r="H33" s="15">
        <f t="shared" si="9"/>
        <v>71518.607999999993</v>
      </c>
      <c r="I33" s="15">
        <f>[1]Total!$D$33</f>
        <v>51596.160000000003</v>
      </c>
      <c r="J33" s="56">
        <f t="shared" si="10"/>
        <v>51596.160000000003</v>
      </c>
      <c r="K33" s="41">
        <f t="shared" si="2"/>
        <v>0</v>
      </c>
    </row>
    <row r="34" spans="1:11" ht="15.75" x14ac:dyDescent="0.25">
      <c r="A34" s="89" t="s">
        <v>25</v>
      </c>
      <c r="B34" s="90"/>
      <c r="C34" s="38">
        <f>SUM(C25:C33)</f>
        <v>10969</v>
      </c>
      <c r="D34" s="38">
        <f>SUM(D25:D33)</f>
        <v>10973</v>
      </c>
      <c r="E34" s="9">
        <f>SUM(E25:E33)</f>
        <v>13391778</v>
      </c>
      <c r="F34" s="71">
        <v>0.12</v>
      </c>
      <c r="G34" s="19">
        <f>SUM(G25:G33)</f>
        <v>4687122.2999999989</v>
      </c>
      <c r="H34" s="19">
        <f>SUM(H25:H33)</f>
        <v>562454.67599999998</v>
      </c>
      <c r="I34" s="19">
        <f>SUM(I25:I33)</f>
        <v>409144.52</v>
      </c>
      <c r="J34" s="78">
        <f>SUM(J25:J33)</f>
        <v>396809.93599999999</v>
      </c>
      <c r="K34" s="41"/>
    </row>
    <row r="35" spans="1:11" s="40" customFormat="1" ht="15.75" x14ac:dyDescent="0.25">
      <c r="A35" s="10" t="s">
        <v>11</v>
      </c>
      <c r="B35" s="10" t="s">
        <v>64</v>
      </c>
      <c r="C35" s="34">
        <v>1310</v>
      </c>
      <c r="D35" s="34">
        <f>14+3+546+53+71+102+420+11</f>
        <v>1220</v>
      </c>
      <c r="E35" s="11">
        <f>(14*1776)+(3*1296)+(546*1272)+(53*1350)+(71*990)+(102*1080)+(420*1188)+(11*888)</f>
        <v>1483992</v>
      </c>
      <c r="F35" s="12">
        <v>0.35</v>
      </c>
      <c r="G35" s="11">
        <f>E35*F35</f>
        <v>519397.19999999995</v>
      </c>
      <c r="H35" s="11">
        <f t="shared" ref="H35:H39" si="11">G35*12%</f>
        <v>62327.66399999999</v>
      </c>
      <c r="I35" s="11">
        <f>[1]Total!$D$35</f>
        <v>49152</v>
      </c>
      <c r="J35" s="73">
        <f t="shared" ref="J35:J40" si="12">MIN(H35,I35)</f>
        <v>49152</v>
      </c>
      <c r="K35" s="41">
        <f t="shared" si="2"/>
        <v>0</v>
      </c>
    </row>
    <row r="36" spans="1:11" s="40" customFormat="1" ht="15.75" x14ac:dyDescent="0.25">
      <c r="A36" s="5" t="s">
        <v>27</v>
      </c>
      <c r="B36" s="5" t="str">
        <f>[3]Total!$C$35</f>
        <v>H.S.Enterprises (pvt) Ltd</v>
      </c>
      <c r="C36" s="20">
        <v>1666</v>
      </c>
      <c r="D36" s="20">
        <f>29+10+686+90+106+105+525+26</f>
        <v>1577</v>
      </c>
      <c r="E36" s="6">
        <f>(29*1776)+(10*1296)+(686*1272)+(90*1350)+(106*990)+(105*1080)+(525*1188)+(26*888)</f>
        <v>1923684</v>
      </c>
      <c r="F36" s="7">
        <v>0.35</v>
      </c>
      <c r="G36" s="6">
        <f t="shared" ref="G36:G40" si="13">E36*F36</f>
        <v>673289.39999999991</v>
      </c>
      <c r="H36" s="6">
        <f t="shared" si="11"/>
        <v>80794.727999999988</v>
      </c>
      <c r="I36" s="6">
        <f>[1]Total!$D$36</f>
        <v>65610.600000000006</v>
      </c>
      <c r="J36" s="50">
        <f t="shared" si="12"/>
        <v>65610.600000000006</v>
      </c>
      <c r="K36" s="41">
        <f t="shared" si="2"/>
        <v>0</v>
      </c>
    </row>
    <row r="37" spans="1:11" s="40" customFormat="1" ht="15.75" x14ac:dyDescent="0.25">
      <c r="A37" s="5" t="s">
        <v>67</v>
      </c>
      <c r="B37" s="5" t="s">
        <v>39</v>
      </c>
      <c r="C37" s="20">
        <v>950</v>
      </c>
      <c r="D37" s="20">
        <f>5+472+38+50+51+146+27</f>
        <v>789</v>
      </c>
      <c r="E37" s="6">
        <f>(5*1776)+(0*1296)+(472*1272)+(38*1350)+(50*990)+(51*1080)+(146*1188)+(27*888)</f>
        <v>962568</v>
      </c>
      <c r="F37" s="7">
        <v>0.35</v>
      </c>
      <c r="G37" s="6">
        <f t="shared" si="13"/>
        <v>336898.8</v>
      </c>
      <c r="H37" s="6">
        <f t="shared" si="11"/>
        <v>40427.856</v>
      </c>
      <c r="I37" s="6">
        <f>[1]Total!$D$37</f>
        <v>45163.4</v>
      </c>
      <c r="J37" s="63">
        <f t="shared" si="12"/>
        <v>40427.856</v>
      </c>
      <c r="K37" s="41">
        <f t="shared" si="2"/>
        <v>4735.5440000000017</v>
      </c>
    </row>
    <row r="38" spans="1:11" s="40" customFormat="1" ht="15.75" x14ac:dyDescent="0.25">
      <c r="A38" s="5" t="s">
        <v>3</v>
      </c>
      <c r="B38" s="5" t="s">
        <v>31</v>
      </c>
      <c r="C38" s="20">
        <v>1550</v>
      </c>
      <c r="D38" s="20">
        <f>15+759+70+116+67+540</f>
        <v>1567</v>
      </c>
      <c r="E38" s="6">
        <f>(15*1776)+(0*1296)+(759*1272)+(70*1350)+(116*990)+(67*1080)+(540*1188)+(0*888)</f>
        <v>1915308</v>
      </c>
      <c r="F38" s="7">
        <v>0.35</v>
      </c>
      <c r="G38" s="6">
        <f t="shared" si="13"/>
        <v>670357.79999999993</v>
      </c>
      <c r="H38" s="6">
        <f t="shared" si="11"/>
        <v>80442.935999999987</v>
      </c>
      <c r="I38" s="6">
        <f>[1]Total!$D$38</f>
        <v>82822.2</v>
      </c>
      <c r="J38" s="63">
        <f t="shared" si="12"/>
        <v>80442.935999999987</v>
      </c>
      <c r="K38" s="41">
        <f t="shared" si="2"/>
        <v>2379.2640000000101</v>
      </c>
    </row>
    <row r="39" spans="1:11" s="40" customFormat="1" ht="15.75" x14ac:dyDescent="0.25">
      <c r="A39" s="5" t="str">
        <f>[4]Total!$B$39</f>
        <v>Mahiyanganaya</v>
      </c>
      <c r="B39" s="5" t="str">
        <f>[4]Total!$C$39</f>
        <v>Manjula Distributor</v>
      </c>
      <c r="C39" s="20">
        <v>1000</v>
      </c>
      <c r="D39" s="20">
        <f>19+8+469+8+19+42+329+9</f>
        <v>903</v>
      </c>
      <c r="E39" s="6">
        <f>(19*1776)+(8*1296)+(469*1272)+(8*1350)+(19*990)+(42*1080)+(329*1188)+(9*888)+(0*1467)</f>
        <v>1114494</v>
      </c>
      <c r="F39" s="7">
        <v>0.35</v>
      </c>
      <c r="G39" s="6">
        <f>E39*F39</f>
        <v>390072.89999999997</v>
      </c>
      <c r="H39" s="6">
        <f t="shared" si="11"/>
        <v>46808.747999999992</v>
      </c>
      <c r="I39" s="6">
        <f>[1]Total!$D$39</f>
        <v>45512.88</v>
      </c>
      <c r="J39" s="50">
        <f t="shared" si="12"/>
        <v>45512.88</v>
      </c>
      <c r="K39" s="41">
        <f t="shared" si="2"/>
        <v>0</v>
      </c>
    </row>
    <row r="40" spans="1:11" s="40" customFormat="1" ht="15.75" x14ac:dyDescent="0.25">
      <c r="A40" s="5" t="s">
        <v>58</v>
      </c>
      <c r="B40" s="5" t="s">
        <v>52</v>
      </c>
      <c r="C40" s="20">
        <v>1530</v>
      </c>
      <c r="D40" s="20">
        <f>587+75+85+152+501+13</f>
        <v>1413</v>
      </c>
      <c r="E40" s="6">
        <f>(0*1776)+(0*1296)+(587*1272)+(75*1350)+(85*990)+(152*1080)+(501*1188)+(13*888)</f>
        <v>1702956</v>
      </c>
      <c r="F40" s="7">
        <v>0.35</v>
      </c>
      <c r="G40" s="6">
        <f t="shared" si="13"/>
        <v>596034.6</v>
      </c>
      <c r="H40" s="6">
        <f>G40*12%</f>
        <v>71524.151999999987</v>
      </c>
      <c r="I40" s="6">
        <f>[1]Total!$D$40</f>
        <v>61148</v>
      </c>
      <c r="J40" s="50">
        <f t="shared" si="12"/>
        <v>61148</v>
      </c>
      <c r="K40" s="41">
        <f t="shared" si="2"/>
        <v>0</v>
      </c>
    </row>
    <row r="41" spans="1:11" ht="15.75" x14ac:dyDescent="0.25">
      <c r="A41" s="89" t="s">
        <v>12</v>
      </c>
      <c r="B41" s="90"/>
      <c r="C41" s="8">
        <f>SUM(C35:C40)</f>
        <v>8006</v>
      </c>
      <c r="D41" s="8">
        <f>SUM(D35:D40)</f>
        <v>7469</v>
      </c>
      <c r="E41" s="9">
        <f>SUM(E35:E40)</f>
        <v>9103002</v>
      </c>
      <c r="F41" s="35">
        <v>0.12</v>
      </c>
      <c r="G41" s="9">
        <f>SUM(G35:G40)</f>
        <v>3186050.6999999997</v>
      </c>
      <c r="H41" s="9">
        <f>SUM(H35:H40)</f>
        <v>382326.08400000003</v>
      </c>
      <c r="I41" s="9">
        <f>SUM(I35:I40)</f>
        <v>349409.08</v>
      </c>
      <c r="J41" s="74">
        <f>SUM(J35:J40)</f>
        <v>342294.272</v>
      </c>
      <c r="K41" s="41"/>
    </row>
    <row r="42" spans="1:11" ht="15.75" x14ac:dyDescent="0.25">
      <c r="A42" s="10" t="s">
        <v>68</v>
      </c>
      <c r="B42" s="10" t="s">
        <v>13</v>
      </c>
      <c r="C42" s="34">
        <v>255</v>
      </c>
      <c r="D42" s="34">
        <f>81+155</f>
        <v>236</v>
      </c>
      <c r="E42" s="6">
        <f>(0*1776)+(0*1296)+(81*1272)+(0*1350)+(0*990)+(0*1080)+(155*1188)+(0*888)</f>
        <v>287172</v>
      </c>
      <c r="F42" s="12">
        <v>0.35</v>
      </c>
      <c r="G42" s="11">
        <f t="shared" ref="G42:G46" si="14">E42*F42</f>
        <v>100510.2</v>
      </c>
      <c r="H42" s="6">
        <f t="shared" ref="H42:H46" si="15">G42*12%</f>
        <v>12061.223999999998</v>
      </c>
      <c r="I42" s="11">
        <f>[1]Total!$D$42</f>
        <v>4578</v>
      </c>
      <c r="J42" s="50">
        <f t="shared" ref="J42:J46" si="16">MIN(H42,I42)</f>
        <v>4578</v>
      </c>
      <c r="K42" s="41">
        <f t="shared" si="2"/>
        <v>0</v>
      </c>
    </row>
    <row r="43" spans="1:11" s="40" customFormat="1" ht="15.75" x14ac:dyDescent="0.25">
      <c r="A43" s="5" t="s">
        <v>57</v>
      </c>
      <c r="B43" s="5" t="s">
        <v>90</v>
      </c>
      <c r="C43" s="57">
        <v>1010</v>
      </c>
      <c r="D43" s="20">
        <f>152+28+2+95+516</f>
        <v>793</v>
      </c>
      <c r="E43" s="6">
        <f>(0*1776)+(0*1296)+(152*1272)+(28*1350)+(2*990)+(95*1080)+(516*1188)+(0*888)</f>
        <v>948732</v>
      </c>
      <c r="F43" s="7">
        <v>0.35</v>
      </c>
      <c r="G43" s="6">
        <f t="shared" si="14"/>
        <v>332056.19999999995</v>
      </c>
      <c r="H43" s="6">
        <f t="shared" si="15"/>
        <v>39846.743999999992</v>
      </c>
      <c r="I43" s="6">
        <f>[1]Total!$D$43</f>
        <v>11515.14</v>
      </c>
      <c r="J43" s="50">
        <f t="shared" si="16"/>
        <v>11515.14</v>
      </c>
      <c r="K43" s="41">
        <f t="shared" si="2"/>
        <v>0</v>
      </c>
    </row>
    <row r="44" spans="1:11" s="40" customFormat="1" ht="15.75" x14ac:dyDescent="0.25">
      <c r="A44" s="5" t="s">
        <v>15</v>
      </c>
      <c r="B44" s="5" t="s">
        <v>16</v>
      </c>
      <c r="C44" s="20">
        <v>1050</v>
      </c>
      <c r="D44" s="20">
        <f>325+131+4+34+685</f>
        <v>1179</v>
      </c>
      <c r="E44" s="6">
        <f>(0*1776)+(0*1296)+(325*1272)+(131*1350)+(4*990)+(34*1080)+(685*1188)+(0*888)</f>
        <v>1444710</v>
      </c>
      <c r="F44" s="7">
        <v>0.35</v>
      </c>
      <c r="G44" s="6">
        <f t="shared" si="14"/>
        <v>505648.49999999994</v>
      </c>
      <c r="H44" s="6">
        <f t="shared" si="15"/>
        <v>60677.819999999992</v>
      </c>
      <c r="I44" s="6">
        <f>[1]Total!$D$44</f>
        <v>47699.02</v>
      </c>
      <c r="J44" s="50">
        <f t="shared" si="16"/>
        <v>47699.02</v>
      </c>
      <c r="K44" s="41">
        <f t="shared" si="2"/>
        <v>0</v>
      </c>
    </row>
    <row r="45" spans="1:11" s="40" customFormat="1" ht="15.75" x14ac:dyDescent="0.25">
      <c r="A45" s="42" t="s">
        <v>17</v>
      </c>
      <c r="B45" s="42" t="s">
        <v>38</v>
      </c>
      <c r="C45" s="43">
        <v>610</v>
      </c>
      <c r="D45" s="43">
        <f>41+24+103+23+12+58+303</f>
        <v>564</v>
      </c>
      <c r="E45" s="44">
        <f>(41*1776)+(24*1296)+(103*1272)+(23*1350)+(12*990)+(58*1080)+(303*1188)+(0*888)+(0*1467)</f>
        <v>700470</v>
      </c>
      <c r="F45" s="66">
        <v>0.35</v>
      </c>
      <c r="G45" s="44">
        <f t="shared" si="14"/>
        <v>245164.49999999997</v>
      </c>
      <c r="H45" s="44">
        <f t="shared" si="15"/>
        <v>29419.739999999994</v>
      </c>
      <c r="I45" s="44">
        <f>[1]Total!$D$45</f>
        <v>25827.119999999999</v>
      </c>
      <c r="J45" s="67">
        <f t="shared" si="16"/>
        <v>25827.119999999999</v>
      </c>
      <c r="K45" s="41">
        <f t="shared" si="2"/>
        <v>0</v>
      </c>
    </row>
    <row r="46" spans="1:11" s="40" customFormat="1" ht="15.75" x14ac:dyDescent="0.25">
      <c r="A46" s="14" t="s">
        <v>14</v>
      </c>
      <c r="B46" s="68" t="s">
        <v>78</v>
      </c>
      <c r="C46" s="43">
        <v>605</v>
      </c>
      <c r="D46" s="76">
        <f>3+3+196+27+1+105+261</f>
        <v>596</v>
      </c>
      <c r="E46" s="67">
        <f>(3*1776)+(3*1296)+(196*1272)+(27*1350)+(1*990)+(105*1080)+(261*1188)+(0*888)+(0*1467)</f>
        <v>719436</v>
      </c>
      <c r="F46" s="66">
        <v>0.35</v>
      </c>
      <c r="G46" s="44">
        <f t="shared" si="14"/>
        <v>251802.59999999998</v>
      </c>
      <c r="H46" s="44">
        <f t="shared" si="15"/>
        <v>30216.311999999994</v>
      </c>
      <c r="I46" s="44">
        <f>[1]Total!$D$46</f>
        <v>25481.8</v>
      </c>
      <c r="J46" s="67">
        <f t="shared" si="16"/>
        <v>25481.8</v>
      </c>
      <c r="K46" s="41">
        <f t="shared" si="2"/>
        <v>0</v>
      </c>
    </row>
    <row r="47" spans="1:11" ht="15.75" x14ac:dyDescent="0.25">
      <c r="A47" s="89" t="s">
        <v>18</v>
      </c>
      <c r="B47" s="90"/>
      <c r="C47" s="8">
        <f>SUM(C42:C46)</f>
        <v>3530</v>
      </c>
      <c r="D47" s="8">
        <f>SUM(D42:D46)</f>
        <v>3368</v>
      </c>
      <c r="E47" s="9">
        <f>SUM(E42:E46)</f>
        <v>4100520</v>
      </c>
      <c r="F47" s="35">
        <v>0.12</v>
      </c>
      <c r="G47" s="9">
        <f>SUM(G42:G46)</f>
        <v>1435182</v>
      </c>
      <c r="H47" s="9">
        <f>SUM(H42:H46)</f>
        <v>172221.84</v>
      </c>
      <c r="I47" s="9">
        <f>SUM(I42:I46)</f>
        <v>115101.08</v>
      </c>
      <c r="J47" s="9">
        <f>SUM(J42:J46)</f>
        <v>115101.08</v>
      </c>
      <c r="K47" s="41"/>
    </row>
    <row r="48" spans="1:11" s="40" customFormat="1" ht="15.75" x14ac:dyDescent="0.25">
      <c r="A48" s="85" t="s">
        <v>84</v>
      </c>
      <c r="B48" s="86" t="s">
        <v>98</v>
      </c>
      <c r="C48" s="61">
        <v>100</v>
      </c>
      <c r="D48" s="61">
        <f>19+2+31+4+19+99+3</f>
        <v>177</v>
      </c>
      <c r="E48" s="44">
        <f>(19*1776)+(2*1296)+(31*1272)+(4*1350)+(0*990)+(19*1080)+(99*1188)+(3*888)+(0*1467)</f>
        <v>221964</v>
      </c>
      <c r="F48" s="66">
        <v>0.35</v>
      </c>
      <c r="G48" s="6">
        <f>E48*F48</f>
        <v>77687.399999999994</v>
      </c>
      <c r="H48" s="6">
        <f>G48*12%</f>
        <v>9322.4879999999994</v>
      </c>
      <c r="I48" s="6">
        <f>[1]Total!$D$48</f>
        <v>8940</v>
      </c>
      <c r="J48" s="50">
        <f>MIN(H48,I48)</f>
        <v>8940</v>
      </c>
      <c r="K48" s="84"/>
    </row>
    <row r="49" spans="1:11" s="40" customFormat="1" ht="15.75" x14ac:dyDescent="0.25">
      <c r="A49" s="49" t="s">
        <v>95</v>
      </c>
      <c r="B49" s="49" t="str">
        <f>[5]Total!$C$48</f>
        <v>Alex Distributor</v>
      </c>
      <c r="C49" s="20">
        <v>760</v>
      </c>
      <c r="D49" s="20">
        <f>32+550+8+3+30+122+2</f>
        <v>747</v>
      </c>
      <c r="E49" s="44">
        <f>(32*1776)+(0*1296)+(550*1272)+(8*1350)+(3*990)+(30*1080)+(122*1188)+(2*888)+(0*1467)</f>
        <v>949314</v>
      </c>
      <c r="F49" s="66">
        <v>0.35</v>
      </c>
      <c r="G49" s="6">
        <f>E49*F49</f>
        <v>332259.89999999997</v>
      </c>
      <c r="H49" s="6">
        <f>G49*12%</f>
        <v>39871.187999999995</v>
      </c>
      <c r="I49" s="6">
        <f>[1]Total!$D$49</f>
        <v>70092.600000000006</v>
      </c>
      <c r="J49" s="63">
        <f>MIN(H49,I49)</f>
        <v>39871.187999999995</v>
      </c>
      <c r="K49" s="41">
        <f t="shared" si="2"/>
        <v>30221.412000000011</v>
      </c>
    </row>
    <row r="50" spans="1:11" ht="15.75" x14ac:dyDescent="0.25">
      <c r="A50" s="14" t="s">
        <v>77</v>
      </c>
      <c r="B50" s="14" t="s">
        <v>34</v>
      </c>
      <c r="C50" s="33">
        <v>1440</v>
      </c>
      <c r="D50" s="33">
        <f>180+17+443+26+15+78+339+32</f>
        <v>1130</v>
      </c>
      <c r="E50" s="15">
        <f>(180*1776)+(17*1296)+(443*1272)+(26*1350)+(15*990)+(78*1080)+(339*1188)+(32*888)</f>
        <v>1470546</v>
      </c>
      <c r="F50" s="16">
        <v>0.35</v>
      </c>
      <c r="G50" s="15">
        <f>E50*F50</f>
        <v>514691.1</v>
      </c>
      <c r="H50" s="15">
        <f>G50*12%</f>
        <v>61762.931999999993</v>
      </c>
      <c r="I50" s="15">
        <f>[1]Total!$D$50+[1]Total!$D$51</f>
        <v>60229</v>
      </c>
      <c r="J50" s="56">
        <f>MIN(H50,I50)</f>
        <v>60229</v>
      </c>
      <c r="K50" s="41">
        <f t="shared" si="2"/>
        <v>0</v>
      </c>
    </row>
    <row r="51" spans="1:11" ht="15.75" x14ac:dyDescent="0.25">
      <c r="A51" s="89" t="s">
        <v>21</v>
      </c>
      <c r="B51" s="90"/>
      <c r="C51" s="17">
        <f>SUM(C48:C50)</f>
        <v>2300</v>
      </c>
      <c r="D51" s="17">
        <f t="shared" ref="D51:I51" si="17">SUM(D48:D50)</f>
        <v>2054</v>
      </c>
      <c r="E51" s="18">
        <f t="shared" si="17"/>
        <v>2641824</v>
      </c>
      <c r="F51" s="35">
        <v>0.12</v>
      </c>
      <c r="G51" s="18">
        <f t="shared" si="17"/>
        <v>924638.39999999991</v>
      </c>
      <c r="H51" s="18">
        <f t="shared" si="17"/>
        <v>110956.60799999998</v>
      </c>
      <c r="I51" s="18">
        <f t="shared" si="17"/>
        <v>139261.6</v>
      </c>
      <c r="J51" s="18">
        <f>SUM(J48:J50)</f>
        <v>109040.18799999999</v>
      </c>
      <c r="K51" s="87"/>
    </row>
    <row r="52" spans="1:11" ht="15.75" x14ac:dyDescent="0.25">
      <c r="A52" s="21"/>
      <c r="B52" s="21"/>
      <c r="C52" s="21"/>
      <c r="D52" s="22"/>
      <c r="E52" s="23"/>
      <c r="F52" s="25"/>
      <c r="G52" s="23"/>
      <c r="H52" s="24"/>
      <c r="I52" s="24"/>
      <c r="J52" s="26"/>
    </row>
    <row r="53" spans="1:11" ht="16.5" thickBot="1" x14ac:dyDescent="0.3">
      <c r="A53" s="93" t="s">
        <v>19</v>
      </c>
      <c r="B53" s="94"/>
      <c r="C53" s="27">
        <f>C51+C47+C41+C34+C24+C19+C11</f>
        <v>43657</v>
      </c>
      <c r="D53" s="27">
        <f>D51+D47+D41+D34+D24+D19+D11</f>
        <v>40389</v>
      </c>
      <c r="E53" s="28">
        <f>E51+E47+E41+E34+E24+E19+E11</f>
        <v>50063841</v>
      </c>
      <c r="F53" s="72">
        <v>0.12</v>
      </c>
      <c r="G53" s="28">
        <f>G51+G47+G41+G34+G24+G19+G11</f>
        <v>17939921.849999998</v>
      </c>
      <c r="H53" s="28">
        <f>H51+H47+H41+H34+H24+H19+H11</f>
        <v>2152790.622</v>
      </c>
      <c r="I53" s="28">
        <f>I51+I47+I41+I34+I24+I19+I11</f>
        <v>1868516.99</v>
      </c>
      <c r="J53" s="28">
        <f>J51+J47+J41+J34+J24+J19+J11</f>
        <v>1787754.4119999998</v>
      </c>
      <c r="K53" s="41">
        <f>SUM(K4:K51)</f>
        <v>80762.578000000067</v>
      </c>
    </row>
    <row r="54" spans="1:11" ht="16.5" thickTop="1" x14ac:dyDescent="0.25">
      <c r="A54" s="21"/>
      <c r="B54" s="21"/>
      <c r="C54" s="21"/>
      <c r="D54" s="22"/>
      <c r="E54" s="22"/>
      <c r="F54" s="22"/>
      <c r="G54" s="22"/>
      <c r="H54" s="26">
        <f>(H53/E53)*100</f>
        <v>4.3000908020621109</v>
      </c>
      <c r="I54" s="26"/>
      <c r="J54" s="26">
        <f>(J53/E53)*100</f>
        <v>3.5709493644325048</v>
      </c>
    </row>
    <row r="55" spans="1:11" ht="20.25" x14ac:dyDescent="0.55000000000000004">
      <c r="A55" s="39" t="s">
        <v>32</v>
      </c>
      <c r="B55" s="39"/>
      <c r="C55" s="39"/>
      <c r="D55" s="39"/>
      <c r="E55" s="39"/>
      <c r="F55" s="39"/>
      <c r="G55" s="39"/>
      <c r="H55" s="24"/>
      <c r="I55" s="24"/>
      <c r="J55" s="29"/>
    </row>
    <row r="56" spans="1:11" ht="15.75" x14ac:dyDescent="0.25">
      <c r="A56" s="31" t="s">
        <v>71</v>
      </c>
      <c r="B56" s="30"/>
      <c r="C56" s="31"/>
      <c r="D56" s="22"/>
      <c r="E56" s="23"/>
      <c r="F56" s="23"/>
      <c r="G56" s="23"/>
      <c r="H56" s="24"/>
      <c r="I56" s="24"/>
      <c r="J56" s="26"/>
    </row>
    <row r="57" spans="1:11" ht="15.75" x14ac:dyDescent="0.25">
      <c r="A57" s="31"/>
      <c r="B57" s="30"/>
      <c r="C57" s="31"/>
      <c r="D57" s="22"/>
      <c r="E57" s="23"/>
      <c r="F57" s="23"/>
      <c r="G57" s="23"/>
      <c r="H57" s="24"/>
      <c r="I57" s="24"/>
      <c r="J57" s="26"/>
    </row>
    <row r="58" spans="1:11" ht="15.75" x14ac:dyDescent="0.25">
      <c r="A58" s="31"/>
      <c r="B58" s="30"/>
      <c r="C58" s="31"/>
      <c r="D58" s="22"/>
      <c r="E58" s="23"/>
      <c r="F58" s="23"/>
      <c r="G58" s="23"/>
      <c r="H58" s="24"/>
      <c r="I58" s="24"/>
      <c r="J58" s="26"/>
    </row>
    <row r="59" spans="1:11" ht="15.75" x14ac:dyDescent="0.25">
      <c r="A59" s="31"/>
      <c r="B59" s="30"/>
      <c r="C59" s="31"/>
      <c r="D59" s="22"/>
      <c r="E59" s="23"/>
      <c r="F59" s="23"/>
      <c r="G59" s="23"/>
      <c r="H59" s="24"/>
      <c r="I59" s="24"/>
      <c r="J59" s="26"/>
    </row>
    <row r="60" spans="1:11" ht="15.75" x14ac:dyDescent="0.25">
      <c r="A60" s="31"/>
      <c r="B60" s="30"/>
      <c r="C60" s="31"/>
      <c r="D60" s="22"/>
      <c r="E60" s="23"/>
      <c r="F60" s="23"/>
      <c r="G60" s="23"/>
      <c r="H60" s="24"/>
      <c r="I60" s="24"/>
      <c r="J60" s="26"/>
    </row>
    <row r="61" spans="1:11" ht="15.75" x14ac:dyDescent="0.25">
      <c r="A61" s="31"/>
      <c r="B61" s="30"/>
      <c r="C61" s="31"/>
      <c r="D61" s="22"/>
      <c r="E61" s="23"/>
      <c r="F61" s="23"/>
      <c r="G61" s="23"/>
      <c r="H61" s="24"/>
      <c r="I61" s="24"/>
      <c r="J61" s="26"/>
    </row>
    <row r="62" spans="1:11" ht="15.75" x14ac:dyDescent="0.25">
      <c r="A62" s="31"/>
      <c r="B62" s="30"/>
      <c r="C62" s="31"/>
      <c r="D62" s="22"/>
      <c r="E62" s="23"/>
      <c r="F62" s="23"/>
      <c r="G62" s="23"/>
      <c r="H62" s="24"/>
      <c r="I62" s="24"/>
      <c r="J62" s="26"/>
    </row>
    <row r="63" spans="1:11" ht="15.75" x14ac:dyDescent="0.25">
      <c r="A63" s="31"/>
      <c r="B63" s="30"/>
      <c r="C63" s="31"/>
      <c r="D63" s="22"/>
      <c r="E63" s="23"/>
      <c r="F63" s="23"/>
      <c r="G63" s="23"/>
      <c r="H63" s="24"/>
      <c r="I63" s="24"/>
      <c r="J63" s="26"/>
    </row>
    <row r="64" spans="1:11" ht="15.75" x14ac:dyDescent="0.25">
      <c r="A64" s="31"/>
      <c r="B64" s="30"/>
      <c r="C64" s="31"/>
      <c r="D64" s="22"/>
      <c r="E64" s="23"/>
      <c r="F64" s="23"/>
      <c r="G64" s="23"/>
      <c r="H64" s="24"/>
      <c r="I64" s="24"/>
      <c r="J64" s="26"/>
    </row>
    <row r="65" spans="1:10" ht="15.75" x14ac:dyDescent="0.25">
      <c r="A65" s="31"/>
      <c r="B65" s="30"/>
      <c r="C65" s="31"/>
      <c r="D65" s="22"/>
      <c r="E65" s="23"/>
      <c r="F65" s="23"/>
      <c r="G65" s="23"/>
      <c r="H65" s="24"/>
      <c r="I65" s="24"/>
      <c r="J65" s="26"/>
    </row>
    <row r="66" spans="1:10" ht="15.75" x14ac:dyDescent="0.25">
      <c r="A66" s="31"/>
      <c r="B66" s="30"/>
      <c r="C66" s="31"/>
      <c r="D66" s="22"/>
      <c r="E66" s="23"/>
      <c r="F66" s="23"/>
      <c r="G66" s="23"/>
      <c r="H66" s="24"/>
      <c r="I66" s="24"/>
      <c r="J66" s="26"/>
    </row>
    <row r="67" spans="1:10" ht="15.75" x14ac:dyDescent="0.25">
      <c r="A67" s="31"/>
      <c r="B67" s="30"/>
      <c r="C67" s="31"/>
      <c r="D67" s="22"/>
      <c r="E67" s="23"/>
      <c r="F67" s="23"/>
      <c r="G67" s="23"/>
      <c r="H67" s="24"/>
      <c r="I67" s="24"/>
      <c r="J67" s="26"/>
    </row>
    <row r="68" spans="1:10" ht="15.75" x14ac:dyDescent="0.25">
      <c r="A68" s="31"/>
      <c r="B68" s="30"/>
      <c r="C68" s="31"/>
      <c r="D68" s="22"/>
      <c r="E68" s="23"/>
      <c r="F68" s="23"/>
      <c r="G68" s="23"/>
      <c r="H68" s="24"/>
      <c r="I68" s="24"/>
      <c r="J68" s="26"/>
    </row>
    <row r="69" spans="1:10" ht="15.75" x14ac:dyDescent="0.25">
      <c r="A69" s="31"/>
      <c r="B69" s="30"/>
      <c r="C69" s="31"/>
      <c r="D69" s="22"/>
      <c r="E69" s="23"/>
      <c r="F69" s="23"/>
      <c r="G69" s="23"/>
      <c r="H69" s="24"/>
      <c r="I69" s="24"/>
      <c r="J69" s="26"/>
    </row>
    <row r="70" spans="1:10" ht="15.75" x14ac:dyDescent="0.25">
      <c r="A70" s="31"/>
      <c r="B70" s="30"/>
      <c r="C70" s="31"/>
      <c r="D70" s="22"/>
      <c r="E70" s="23"/>
      <c r="F70" s="23"/>
      <c r="G70" s="23"/>
      <c r="H70" s="24"/>
      <c r="I70" s="24"/>
      <c r="J70" s="26"/>
    </row>
    <row r="71" spans="1:10" ht="15.75" x14ac:dyDescent="0.25">
      <c r="A71" s="31"/>
      <c r="B71" s="30"/>
      <c r="C71" s="31"/>
      <c r="D71" s="22"/>
      <c r="E71" s="23"/>
      <c r="F71" s="23"/>
      <c r="G71" s="23"/>
      <c r="H71" s="24"/>
      <c r="I71" s="24"/>
      <c r="J71" s="26"/>
    </row>
    <row r="72" spans="1:10" ht="15.75" x14ac:dyDescent="0.25">
      <c r="A72" s="31"/>
      <c r="B72" s="30"/>
      <c r="C72" s="31"/>
      <c r="D72" s="22"/>
      <c r="E72" s="23"/>
      <c r="F72" s="23"/>
      <c r="G72" s="23"/>
      <c r="H72" s="24"/>
      <c r="I72" s="24"/>
      <c r="J72" s="26"/>
    </row>
    <row r="73" spans="1:10" ht="15.75" x14ac:dyDescent="0.25">
      <c r="A73" s="31"/>
      <c r="B73" s="30"/>
      <c r="C73" s="31"/>
      <c r="D73" s="22"/>
      <c r="E73" s="23"/>
      <c r="F73" s="23"/>
      <c r="G73" s="23"/>
      <c r="H73" s="24"/>
      <c r="I73" s="24"/>
      <c r="J73" s="26"/>
    </row>
    <row r="74" spans="1:10" ht="15.75" x14ac:dyDescent="0.25">
      <c r="A74" s="30"/>
      <c r="B74" s="30"/>
      <c r="C74" s="31"/>
      <c r="D74" s="22"/>
      <c r="E74" s="23"/>
      <c r="F74" s="23"/>
      <c r="G74" s="23"/>
      <c r="H74" s="24"/>
      <c r="I74" s="24"/>
      <c r="J74" s="26"/>
    </row>
    <row r="75" spans="1:10" ht="15.75" x14ac:dyDescent="0.25">
      <c r="A75" s="30"/>
      <c r="B75" s="30"/>
      <c r="C75" s="31"/>
      <c r="D75" s="22"/>
      <c r="E75" s="23"/>
      <c r="F75" s="23"/>
      <c r="G75" s="23"/>
      <c r="H75" s="24"/>
      <c r="I75" s="24"/>
      <c r="J75" s="26"/>
    </row>
    <row r="76" spans="1:10" ht="15.75" x14ac:dyDescent="0.25">
      <c r="A76" s="30"/>
      <c r="B76" s="30"/>
      <c r="C76" s="31"/>
      <c r="D76" s="22"/>
      <c r="E76" s="23"/>
      <c r="F76" s="23"/>
      <c r="G76" s="23"/>
      <c r="H76" s="24"/>
      <c r="I76" s="24"/>
      <c r="J76" s="26"/>
    </row>
    <row r="77" spans="1:10" ht="15.75" x14ac:dyDescent="0.25">
      <c r="A77" s="30"/>
      <c r="B77" s="30"/>
      <c r="C77" s="31"/>
      <c r="D77" s="22"/>
      <c r="E77" s="23"/>
      <c r="F77" s="23"/>
      <c r="G77" s="23"/>
      <c r="H77" s="24"/>
      <c r="I77" s="24"/>
      <c r="J77" s="26"/>
    </row>
    <row r="78" spans="1:10" ht="15.75" x14ac:dyDescent="0.25">
      <c r="A78" s="30"/>
      <c r="B78" s="30"/>
      <c r="C78" s="31"/>
      <c r="D78" s="21"/>
      <c r="E78" s="23"/>
      <c r="F78" s="23"/>
      <c r="G78" s="23"/>
      <c r="H78" s="24"/>
      <c r="I78" s="24"/>
      <c r="J78" s="26"/>
    </row>
    <row r="79" spans="1:10" ht="15.75" x14ac:dyDescent="0.25">
      <c r="A79" s="95" t="s">
        <v>37</v>
      </c>
      <c r="B79" s="95"/>
      <c r="C79" s="95" t="s">
        <v>36</v>
      </c>
      <c r="D79" s="95"/>
      <c r="E79" s="96" t="s">
        <v>60</v>
      </c>
      <c r="F79" s="96"/>
      <c r="G79" s="96"/>
      <c r="H79" s="96" t="s">
        <v>60</v>
      </c>
      <c r="I79" s="96"/>
      <c r="J79" s="96"/>
    </row>
    <row r="80" spans="1:10" ht="15.75" x14ac:dyDescent="0.25">
      <c r="A80" s="64"/>
      <c r="B80" s="82"/>
      <c r="C80" s="82"/>
      <c r="D80" s="82"/>
      <c r="E80" s="26"/>
      <c r="F80" s="26"/>
      <c r="G80" s="23"/>
      <c r="H80" s="64"/>
      <c r="I80" s="58"/>
      <c r="J80" s="58"/>
    </row>
    <row r="81" spans="1:10" ht="15.75" x14ac:dyDescent="0.25">
      <c r="A81" s="97" t="s">
        <v>93</v>
      </c>
      <c r="B81" s="97"/>
      <c r="C81" s="97" t="s">
        <v>94</v>
      </c>
      <c r="D81" s="97"/>
      <c r="E81" s="97" t="s">
        <v>59</v>
      </c>
      <c r="F81" s="97"/>
      <c r="G81" s="97"/>
      <c r="H81" s="97" t="s">
        <v>92</v>
      </c>
      <c r="I81" s="97"/>
      <c r="J81" s="97"/>
    </row>
    <row r="82" spans="1:10" x14ac:dyDescent="0.25">
      <c r="A82" s="58"/>
      <c r="B82" s="58"/>
      <c r="C82" s="58"/>
      <c r="D82" s="58"/>
      <c r="E82" s="58"/>
      <c r="F82" s="58"/>
      <c r="G82" s="58"/>
      <c r="H82" s="58"/>
      <c r="I82" s="58"/>
      <c r="J82" s="58"/>
    </row>
    <row r="83" spans="1:10" x14ac:dyDescent="0.25">
      <c r="A83" s="58"/>
      <c r="B83" s="58"/>
      <c r="C83" s="58"/>
      <c r="D83" s="58"/>
      <c r="E83" s="58"/>
      <c r="F83" s="58"/>
      <c r="G83" s="58"/>
      <c r="H83" s="58"/>
      <c r="I83" s="58"/>
      <c r="J83" s="58"/>
    </row>
  </sheetData>
  <mergeCells count="17">
    <mergeCell ref="H79:J79"/>
    <mergeCell ref="A81:B81"/>
    <mergeCell ref="C81:D81"/>
    <mergeCell ref="E81:G81"/>
    <mergeCell ref="H81:J81"/>
    <mergeCell ref="E79:G79"/>
    <mergeCell ref="A47:B47"/>
    <mergeCell ref="A51:B51"/>
    <mergeCell ref="A53:B53"/>
    <mergeCell ref="A79:B79"/>
    <mergeCell ref="C79:D79"/>
    <mergeCell ref="A41:B41"/>
    <mergeCell ref="A1:J1"/>
    <mergeCell ref="A11:B11"/>
    <mergeCell ref="A19:B19"/>
    <mergeCell ref="A24:B24"/>
    <mergeCell ref="A34:B34"/>
  </mergeCells>
  <conditionalFormatting sqref="F52 F20:F23 F35:F40 F25:F28 F30:F33 F12:F18 F4:F10 F42:F46 F48:F50">
    <cfRule type="cellIs" dxfId="2" priority="3" operator="greaterThan">
      <formula>0.34</formula>
    </cfRule>
  </conditionalFormatting>
  <conditionalFormatting sqref="F12:F17">
    <cfRule type="cellIs" dxfId="1" priority="2" operator="greaterThan">
      <formula>0.013</formula>
    </cfRule>
  </conditionalFormatting>
  <conditionalFormatting sqref="F29">
    <cfRule type="cellIs" dxfId="0" priority="1" operator="greaterThan">
      <formula>0.34</formula>
    </cfRule>
  </conditionalFormatting>
  <pageMargins left="0.56999999999999995" right="0.2" top="0.74803149606299213" bottom="0.2" header="0.31496062992125984" footer="0.31496062992125984"/>
  <pageSetup paperSize="9" scale="50" orientation="portrait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January  2016</vt:lpstr>
      <vt:lpstr>'January  2016'!Print_Area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2016-03-04T10:06:03Z</dcterms:modified>
</cp:coreProperties>
</file>