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Z:\Sales Document\"/>
    </mc:Choice>
  </mc:AlternateContent>
  <bookViews>
    <workbookView xWindow="360" yWindow="195" windowWidth="14355" windowHeight="6405" tabRatio="738" activeTab="5"/>
  </bookViews>
  <sheets>
    <sheet name="RD" sheetId="14" r:id="rId1"/>
    <sheet name="Bv Act" sheetId="1" r:id="rId2"/>
    <sheet name="BV Fig" sheetId="7" r:id="rId3"/>
    <sheet name="Bv flv" sheetId="3" r:id="rId4"/>
    <sheet name="water Act" sheetId="10" r:id="rId5"/>
    <sheet name="water Fig" sheetId="11" r:id="rId6"/>
  </sheets>
  <externalReferences>
    <externalReference r:id="rId7"/>
  </externalReferences>
  <definedNames>
    <definedName name="_xlnm.Print_Area" localSheetId="1">'Bv Act'!$B$1:$AB$74</definedName>
    <definedName name="_xlnm.Print_Area" localSheetId="2">'BV Fig'!$A$1:$AD$86</definedName>
    <definedName name="_xlnm.Print_Area" localSheetId="3">'Bv flv'!$B$3:$Y$74</definedName>
    <definedName name="_xlnm.Print_Area" localSheetId="4">'water Act'!$B$1:$U$32</definedName>
    <definedName name="_xlnm.Print_Area" localSheetId="5">'water Fig'!$B$1:$U$61</definedName>
  </definedNames>
  <calcPr calcId="152511"/>
</workbook>
</file>

<file path=xl/calcChain.xml><?xml version="1.0" encoding="utf-8"?>
<calcChain xmlns="http://schemas.openxmlformats.org/spreadsheetml/2006/main">
  <c r="P22" i="10" l="1"/>
  <c r="E31" i="10" l="1"/>
  <c r="K31" i="10"/>
  <c r="G31" i="10"/>
  <c r="L31" i="10"/>
  <c r="M31" i="10"/>
  <c r="N31" i="10"/>
  <c r="O31" i="10"/>
  <c r="D31" i="10"/>
  <c r="F31" i="10"/>
  <c r="H31" i="10"/>
  <c r="I31" i="10"/>
  <c r="J31" i="10"/>
  <c r="Q32" i="3" l="1"/>
  <c r="Q31" i="3"/>
  <c r="G73" i="7" l="1"/>
  <c r="F73" i="7"/>
  <c r="G67" i="7"/>
  <c r="F67" i="7"/>
  <c r="E67" i="7"/>
  <c r="D67" i="7"/>
  <c r="D73" i="7"/>
  <c r="X73" i="3"/>
  <c r="Y73" i="3"/>
  <c r="N14" i="3"/>
  <c r="L14" i="3"/>
  <c r="Q73" i="1"/>
  <c r="J73" i="1" l="1"/>
  <c r="G24" i="7" l="1"/>
  <c r="E24" i="7"/>
  <c r="D24" i="7"/>
  <c r="G52" i="7" l="1"/>
  <c r="F52" i="7"/>
  <c r="F57" i="7" s="1"/>
  <c r="D52" i="7"/>
  <c r="H15" i="7"/>
  <c r="D10" i="7"/>
  <c r="H11" i="7"/>
  <c r="H12" i="7"/>
  <c r="H16" i="7"/>
  <c r="H17" i="7"/>
  <c r="G10" i="7"/>
  <c r="F10" i="7"/>
  <c r="H10" i="7" s="1"/>
  <c r="F69" i="14"/>
  <c r="G44" i="14"/>
  <c r="G60" i="14"/>
  <c r="G61" i="14"/>
  <c r="G62" i="14"/>
  <c r="G63" i="14"/>
  <c r="G64" i="14"/>
  <c r="G65" i="14"/>
  <c r="G66" i="14"/>
  <c r="G67" i="14"/>
  <c r="E73" i="7"/>
  <c r="D57" i="7"/>
  <c r="E57" i="7"/>
  <c r="G57" i="7"/>
  <c r="D49" i="7"/>
  <c r="E49" i="7"/>
  <c r="F49" i="7"/>
  <c r="G49" i="7"/>
  <c r="G37" i="7"/>
  <c r="F37" i="7"/>
  <c r="E37" i="7"/>
  <c r="D37" i="7"/>
  <c r="G26" i="7"/>
  <c r="F26" i="7"/>
  <c r="E26" i="7"/>
  <c r="D26" i="7"/>
  <c r="G18" i="7"/>
  <c r="G55" i="14"/>
  <c r="G59" i="14" s="1"/>
  <c r="G56" i="14"/>
  <c r="G57" i="14"/>
  <c r="G58" i="14"/>
  <c r="G45" i="14"/>
  <c r="G46" i="14"/>
  <c r="G47" i="14"/>
  <c r="G48" i="14"/>
  <c r="G49" i="14"/>
  <c r="G50" i="14"/>
  <c r="G51" i="14"/>
  <c r="G52" i="14"/>
  <c r="G53" i="14"/>
  <c r="F14" i="7"/>
  <c r="E14" i="7"/>
  <c r="E18" i="7" s="1"/>
  <c r="D14" i="7"/>
  <c r="D18" i="7" s="1"/>
  <c r="G36" i="14"/>
  <c r="G43" i="14" s="1"/>
  <c r="G37" i="14"/>
  <c r="G38" i="14"/>
  <c r="G39" i="14"/>
  <c r="G40" i="14"/>
  <c r="G41" i="14"/>
  <c r="G42" i="14"/>
  <c r="H33" i="7"/>
  <c r="G26" i="14"/>
  <c r="G27" i="14"/>
  <c r="G28" i="14"/>
  <c r="G29" i="14"/>
  <c r="G30" i="14"/>
  <c r="G31" i="14"/>
  <c r="G32" i="14"/>
  <c r="G33" i="14"/>
  <c r="G34" i="14"/>
  <c r="G19" i="14"/>
  <c r="G20" i="14"/>
  <c r="G21" i="14"/>
  <c r="G22" i="14"/>
  <c r="G23" i="14"/>
  <c r="G24" i="14"/>
  <c r="G18" i="14"/>
  <c r="G12" i="14"/>
  <c r="G13" i="14"/>
  <c r="G14" i="14"/>
  <c r="G15" i="14"/>
  <c r="G16" i="14"/>
  <c r="G6" i="14"/>
  <c r="G7" i="14"/>
  <c r="G8" i="14"/>
  <c r="G9" i="14"/>
  <c r="G10" i="14"/>
  <c r="G75" i="7" l="1"/>
  <c r="E75" i="7"/>
  <c r="F18" i="7"/>
  <c r="F75" i="7" s="1"/>
  <c r="D75" i="7"/>
  <c r="G68" i="14"/>
  <c r="G54" i="14"/>
  <c r="G69" i="14" s="1"/>
  <c r="E69" i="14"/>
  <c r="D69" i="14"/>
  <c r="C69" i="14"/>
  <c r="L68" i="14"/>
  <c r="L59" i="14"/>
  <c r="L54" i="14"/>
  <c r="L40" i="14"/>
  <c r="L43" i="14" s="1"/>
  <c r="L35" i="14"/>
  <c r="K35" i="14"/>
  <c r="K69" i="14" s="1"/>
  <c r="J35" i="14"/>
  <c r="J69" i="14" s="1"/>
  <c r="I35" i="14"/>
  <c r="I69" i="14" s="1"/>
  <c r="H35" i="14"/>
  <c r="H69" i="14" s="1"/>
  <c r="G35" i="14"/>
  <c r="L25" i="14"/>
  <c r="L17" i="14"/>
  <c r="G17" i="14"/>
  <c r="L11" i="14"/>
  <c r="G11" i="14"/>
  <c r="L69" i="14" l="1"/>
  <c r="L70" i="7"/>
  <c r="M70" i="7" s="1"/>
  <c r="L71" i="7"/>
  <c r="M71" i="7" s="1"/>
  <c r="L72" i="7"/>
  <c r="M72" i="7" s="1"/>
  <c r="L69" i="7"/>
  <c r="M69" i="7" s="1"/>
  <c r="L60" i="7"/>
  <c r="M60" i="7" s="1"/>
  <c r="L61" i="7"/>
  <c r="M61" i="7" s="1"/>
  <c r="L62" i="7"/>
  <c r="M62" i="7" s="1"/>
  <c r="L63" i="7"/>
  <c r="M63" i="7" s="1"/>
  <c r="L64" i="7"/>
  <c r="M64" i="7" s="1"/>
  <c r="L65" i="7"/>
  <c r="M65" i="7" s="1"/>
  <c r="L66" i="7"/>
  <c r="M66" i="7" s="1"/>
  <c r="L59" i="7"/>
  <c r="M59" i="7" s="1"/>
  <c r="L52" i="7"/>
  <c r="M52" i="7" s="1"/>
  <c r="L53" i="7"/>
  <c r="M53" i="7" s="1"/>
  <c r="L54" i="7"/>
  <c r="M54" i="7" s="1"/>
  <c r="L55" i="7"/>
  <c r="M55" i="7" s="1"/>
  <c r="L56" i="7"/>
  <c r="M56" i="7" s="1"/>
  <c r="L51" i="7"/>
  <c r="M51" i="7" s="1"/>
  <c r="L40" i="7"/>
  <c r="M40" i="7" s="1"/>
  <c r="L41" i="7"/>
  <c r="M41" i="7" s="1"/>
  <c r="L42" i="7"/>
  <c r="M42" i="7" s="1"/>
  <c r="L43" i="7"/>
  <c r="M43" i="7" s="1"/>
  <c r="L44" i="7"/>
  <c r="M44" i="7" s="1"/>
  <c r="L45" i="7"/>
  <c r="M45" i="7" s="1"/>
  <c r="L46" i="7"/>
  <c r="M46" i="7" s="1"/>
  <c r="L47" i="7"/>
  <c r="M47" i="7" s="1"/>
  <c r="L48" i="7"/>
  <c r="M48" i="7" s="1"/>
  <c r="L39" i="7"/>
  <c r="M39" i="7" s="1"/>
  <c r="L29" i="7"/>
  <c r="M29" i="7" s="1"/>
  <c r="L30" i="7"/>
  <c r="M30" i="7" s="1"/>
  <c r="L31" i="7"/>
  <c r="M31" i="7" s="1"/>
  <c r="L32" i="7"/>
  <c r="M32" i="7" s="1"/>
  <c r="L33" i="7"/>
  <c r="M33" i="7" s="1"/>
  <c r="L34" i="7"/>
  <c r="M34" i="7" s="1"/>
  <c r="L35" i="7"/>
  <c r="M35" i="7" s="1"/>
  <c r="L36" i="7"/>
  <c r="M36" i="7" s="1"/>
  <c r="L28" i="7"/>
  <c r="M28" i="7" s="1"/>
  <c r="L21" i="7"/>
  <c r="M21" i="7" s="1"/>
  <c r="L22" i="7"/>
  <c r="M22" i="7" s="1"/>
  <c r="L23" i="7"/>
  <c r="M23" i="7" s="1"/>
  <c r="L24" i="7"/>
  <c r="M24" i="7" s="1"/>
  <c r="L25" i="7"/>
  <c r="M25" i="7" s="1"/>
  <c r="L20" i="7"/>
  <c r="M20" i="7" s="1"/>
  <c r="L10" i="7"/>
  <c r="L11" i="7"/>
  <c r="M11" i="7" s="1"/>
  <c r="L12" i="7"/>
  <c r="M12" i="7" s="1"/>
  <c r="L13" i="7"/>
  <c r="M13" i="7" s="1"/>
  <c r="L14" i="7"/>
  <c r="M14" i="7" s="1"/>
  <c r="L15" i="7"/>
  <c r="M15" i="7" s="1"/>
  <c r="L16" i="7"/>
  <c r="M16" i="7" s="1"/>
  <c r="L17" i="7"/>
  <c r="M17" i="7" s="1"/>
  <c r="W12" i="1"/>
  <c r="W9" i="1"/>
  <c r="W68" i="1"/>
  <c r="W69" i="1"/>
  <c r="W70" i="1"/>
  <c r="W71" i="1"/>
  <c r="W58" i="1"/>
  <c r="W59" i="1"/>
  <c r="W60" i="1"/>
  <c r="W61" i="1"/>
  <c r="W62" i="1"/>
  <c r="W63" i="1"/>
  <c r="W64" i="1"/>
  <c r="W65" i="1"/>
  <c r="W50" i="1"/>
  <c r="W51" i="1"/>
  <c r="W52" i="1"/>
  <c r="W53" i="1"/>
  <c r="W54" i="1"/>
  <c r="W55" i="1"/>
  <c r="W38" i="1"/>
  <c r="W39" i="1"/>
  <c r="W40" i="1"/>
  <c r="W41" i="1"/>
  <c r="W42" i="1"/>
  <c r="W43" i="1"/>
  <c r="W44" i="1"/>
  <c r="W45" i="1"/>
  <c r="W46" i="1"/>
  <c r="W47" i="1"/>
  <c r="W27" i="1"/>
  <c r="W28" i="1"/>
  <c r="W29" i="1"/>
  <c r="W30" i="1"/>
  <c r="W31" i="1"/>
  <c r="W32" i="1"/>
  <c r="W33" i="1"/>
  <c r="W34" i="1"/>
  <c r="W35" i="1"/>
  <c r="W23" i="1"/>
  <c r="W19" i="1"/>
  <c r="W20" i="1"/>
  <c r="W21" i="1"/>
  <c r="W22" i="1"/>
  <c r="W24" i="1"/>
  <c r="W10" i="1"/>
  <c r="W11" i="1"/>
  <c r="W13" i="1"/>
  <c r="W14" i="1"/>
  <c r="W15" i="1"/>
  <c r="W16" i="1"/>
  <c r="N73" i="1"/>
  <c r="E73" i="1"/>
  <c r="AB12" i="1"/>
  <c r="AB9" i="1"/>
  <c r="AA12" i="1"/>
  <c r="AA9" i="1"/>
  <c r="Z12" i="1"/>
  <c r="Z9" i="1"/>
  <c r="Y12" i="1"/>
  <c r="Y9" i="1"/>
  <c r="X12" i="1"/>
  <c r="X9" i="1"/>
  <c r="U12" i="1"/>
  <c r="U9" i="1"/>
  <c r="M57" i="7" l="1"/>
  <c r="M67" i="7"/>
  <c r="M73" i="7"/>
  <c r="M49" i="7"/>
  <c r="M26" i="7"/>
  <c r="X17" i="7"/>
  <c r="X15" i="7"/>
  <c r="X13" i="7"/>
  <c r="X11" i="7"/>
  <c r="X20" i="7"/>
  <c r="X24" i="7"/>
  <c r="X22" i="7"/>
  <c r="X36" i="7"/>
  <c r="X34" i="7"/>
  <c r="X30" i="7"/>
  <c r="X39" i="7"/>
  <c r="X47" i="7"/>
  <c r="X45" i="7"/>
  <c r="X43" i="7"/>
  <c r="X41" i="7"/>
  <c r="X55" i="7"/>
  <c r="X53" i="7"/>
  <c r="X59" i="7"/>
  <c r="X65" i="7"/>
  <c r="X63" i="7"/>
  <c r="X61" i="7"/>
  <c r="X72" i="7"/>
  <c r="X70" i="7"/>
  <c r="L18" i="7"/>
  <c r="X10" i="7"/>
  <c r="X16" i="7"/>
  <c r="X14" i="7"/>
  <c r="X12" i="7"/>
  <c r="X25" i="7"/>
  <c r="X23" i="7"/>
  <c r="X21" i="7"/>
  <c r="X28" i="7"/>
  <c r="X35" i="7"/>
  <c r="X31" i="7"/>
  <c r="X29" i="7"/>
  <c r="X48" i="7"/>
  <c r="X46" i="7"/>
  <c r="X44" i="7"/>
  <c r="X42" i="7"/>
  <c r="X40" i="7"/>
  <c r="X56" i="7"/>
  <c r="X54" i="7"/>
  <c r="X52" i="7"/>
  <c r="X66" i="7"/>
  <c r="X64" i="7"/>
  <c r="X62" i="7"/>
  <c r="X60" i="7"/>
  <c r="X69" i="7"/>
  <c r="X71" i="7"/>
  <c r="X51" i="7"/>
  <c r="X33" i="7"/>
  <c r="W73" i="1"/>
  <c r="M37" i="7"/>
  <c r="X32" i="7"/>
  <c r="M10" i="7"/>
  <c r="M18" i="7" s="1"/>
  <c r="L26" i="7"/>
  <c r="L37" i="7"/>
  <c r="L49" i="7"/>
  <c r="L57" i="7"/>
  <c r="L73" i="7"/>
  <c r="L67" i="7"/>
  <c r="U22" i="10"/>
  <c r="T23" i="10"/>
  <c r="T22" i="10"/>
  <c r="T21" i="10"/>
  <c r="U21" i="10"/>
  <c r="L75" i="7" l="1"/>
  <c r="X57" i="7"/>
  <c r="M75" i="7"/>
  <c r="X73" i="7"/>
  <c r="X18" i="7"/>
  <c r="X49" i="7"/>
  <c r="X26" i="7"/>
  <c r="X67" i="7"/>
  <c r="X37" i="7"/>
  <c r="X75" i="7" l="1"/>
  <c r="H28" i="11"/>
  <c r="H21" i="11"/>
  <c r="H22" i="11"/>
  <c r="M21" i="11"/>
  <c r="N21" i="11"/>
  <c r="I22" i="11"/>
  <c r="O22" i="11" s="1"/>
  <c r="M22" i="11"/>
  <c r="N22" i="11"/>
  <c r="C22" i="11"/>
  <c r="B22" i="11"/>
  <c r="C21" i="11"/>
  <c r="B21" i="11"/>
  <c r="S22" i="10"/>
  <c r="L22" i="11" s="1"/>
  <c r="R22" i="11" s="1"/>
  <c r="R22" i="10"/>
  <c r="K22" i="11" s="1"/>
  <c r="Q22" i="11" s="1"/>
  <c r="Q22" i="10"/>
  <c r="J22" i="11" s="1"/>
  <c r="P22" i="11" s="1"/>
  <c r="P21" i="10"/>
  <c r="I21" i="11" s="1"/>
  <c r="O21" i="11" s="1"/>
  <c r="Q21" i="10"/>
  <c r="J21" i="11" s="1"/>
  <c r="P21" i="11" s="1"/>
  <c r="R21" i="10"/>
  <c r="K21" i="11" s="1"/>
  <c r="Q21" i="11" s="1"/>
  <c r="S21" i="10"/>
  <c r="L21" i="11" s="1"/>
  <c r="R21" i="11" s="1"/>
  <c r="G30" i="11"/>
  <c r="F30" i="11"/>
  <c r="E30" i="11"/>
  <c r="D30" i="11"/>
  <c r="U21" i="11" l="1"/>
  <c r="U22" i="11"/>
  <c r="K73" i="3" l="1"/>
  <c r="L73" i="3"/>
  <c r="M73" i="3"/>
  <c r="N73" i="3"/>
  <c r="O73" i="3"/>
  <c r="R73" i="3"/>
  <c r="S73" i="3"/>
  <c r="T73" i="3"/>
  <c r="U73" i="3"/>
  <c r="C64" i="7"/>
  <c r="C73" i="1"/>
  <c r="H73" i="1"/>
  <c r="F73" i="1"/>
  <c r="I73" i="1"/>
  <c r="H13" i="7" l="1"/>
  <c r="H18" i="7" s="1"/>
  <c r="H14" i="7"/>
  <c r="AA21" i="3" l="1"/>
  <c r="AA22" i="3"/>
  <c r="C16" i="7"/>
  <c r="AA14" i="3"/>
  <c r="C51" i="3" l="1"/>
  <c r="Z14" i="1" l="1"/>
  <c r="Q15" i="7" l="1"/>
  <c r="H20" i="11"/>
  <c r="H19" i="11"/>
  <c r="C20" i="11"/>
  <c r="B20" i="11"/>
  <c r="C19" i="11"/>
  <c r="B19" i="11"/>
  <c r="P19" i="10"/>
  <c r="I19" i="11" s="1"/>
  <c r="O19" i="11" s="1"/>
  <c r="Q19" i="10"/>
  <c r="J19" i="11" s="1"/>
  <c r="P19" i="11" s="1"/>
  <c r="R19" i="10"/>
  <c r="K19" i="11" s="1"/>
  <c r="Q19" i="11" s="1"/>
  <c r="S19" i="10"/>
  <c r="L19" i="11" s="1"/>
  <c r="R19" i="11" s="1"/>
  <c r="T19" i="10"/>
  <c r="M19" i="11" s="1"/>
  <c r="U19" i="10"/>
  <c r="N19" i="11" s="1"/>
  <c r="P20" i="10"/>
  <c r="I20" i="11" s="1"/>
  <c r="O20" i="11" s="1"/>
  <c r="Q20" i="10"/>
  <c r="J20" i="11" s="1"/>
  <c r="P20" i="11" s="1"/>
  <c r="R20" i="10"/>
  <c r="K20" i="11" s="1"/>
  <c r="Q20" i="11" s="1"/>
  <c r="S20" i="10"/>
  <c r="L20" i="11" s="1"/>
  <c r="R20" i="11" s="1"/>
  <c r="T20" i="10"/>
  <c r="M20" i="11" s="1"/>
  <c r="U20" i="10"/>
  <c r="N20" i="11" s="1"/>
  <c r="U20" i="11" l="1"/>
  <c r="U19" i="11"/>
  <c r="U26" i="10"/>
  <c r="U27" i="10"/>
  <c r="T26" i="10"/>
  <c r="M26" i="11" s="1"/>
  <c r="S26" i="11" s="1"/>
  <c r="T27" i="10"/>
  <c r="R26" i="10"/>
  <c r="K26" i="11" s="1"/>
  <c r="Q26" i="11" s="1"/>
  <c r="R27" i="10"/>
  <c r="K27" i="11" s="1"/>
  <c r="Q27" i="11" s="1"/>
  <c r="S26" i="10"/>
  <c r="S27" i="10"/>
  <c r="Q26" i="10"/>
  <c r="J26" i="11" s="1"/>
  <c r="P26" i="11" s="1"/>
  <c r="Q27" i="10"/>
  <c r="J27" i="11" s="1"/>
  <c r="P27" i="11" s="1"/>
  <c r="P26" i="10"/>
  <c r="P27" i="10"/>
  <c r="I27" i="11" s="1"/>
  <c r="O27" i="11" s="1"/>
  <c r="I26" i="11"/>
  <c r="O26" i="11" s="1"/>
  <c r="L26" i="11"/>
  <c r="R26" i="11" s="1"/>
  <c r="N26" i="11"/>
  <c r="T26" i="11" s="1"/>
  <c r="L27" i="11"/>
  <c r="R27" i="11" s="1"/>
  <c r="M27" i="11"/>
  <c r="S27" i="11" s="1"/>
  <c r="N27" i="11"/>
  <c r="T27" i="11" s="1"/>
  <c r="U27" i="11" l="1"/>
  <c r="U26" i="11"/>
  <c r="H26" i="11"/>
  <c r="H27" i="11"/>
  <c r="C27" i="11"/>
  <c r="B27" i="11"/>
  <c r="C26" i="11"/>
  <c r="B26" i="11"/>
  <c r="B59" i="7" l="1"/>
  <c r="S73" i="1"/>
  <c r="R73" i="1"/>
  <c r="P73" i="1"/>
  <c r="O73" i="1"/>
  <c r="L73" i="1"/>
  <c r="G73" i="1"/>
  <c r="U70" i="1"/>
  <c r="V70" i="1"/>
  <c r="J71" i="7" s="1"/>
  <c r="W71" i="7" s="1"/>
  <c r="X70" i="1"/>
  <c r="N71" i="7" s="1"/>
  <c r="Y71" i="7" s="1"/>
  <c r="Y70" i="1"/>
  <c r="O71" i="7" s="1"/>
  <c r="Z70" i="1"/>
  <c r="Q71" i="7" s="1"/>
  <c r="AA70" i="1"/>
  <c r="R71" i="7" s="1"/>
  <c r="AB71" i="7" s="1"/>
  <c r="AB70" i="1"/>
  <c r="S71" i="7" s="1"/>
  <c r="AC71" i="7" s="1"/>
  <c r="AA70" i="3"/>
  <c r="C70" i="3"/>
  <c r="H71" i="7"/>
  <c r="B70" i="3"/>
  <c r="B71" i="7"/>
  <c r="H31" i="7"/>
  <c r="T71" i="7" l="1"/>
  <c r="AA71" i="7"/>
  <c r="Q70" i="3"/>
  <c r="P71" i="7"/>
  <c r="Z71" i="7"/>
  <c r="J70" i="3"/>
  <c r="I71" i="7"/>
  <c r="U71" i="7" s="1"/>
  <c r="C13" i="10"/>
  <c r="C12" i="10"/>
  <c r="C11" i="10"/>
  <c r="C10" i="10"/>
  <c r="C69" i="3"/>
  <c r="C68" i="3"/>
  <c r="H25" i="11"/>
  <c r="H23" i="11"/>
  <c r="N18" i="11"/>
  <c r="M18" i="11"/>
  <c r="L18" i="11"/>
  <c r="H17" i="11"/>
  <c r="H16" i="11"/>
  <c r="H15" i="11"/>
  <c r="N14" i="11"/>
  <c r="M14" i="11"/>
  <c r="L14" i="11"/>
  <c r="H13" i="11"/>
  <c r="H12" i="11"/>
  <c r="H11" i="11"/>
  <c r="H10" i="11"/>
  <c r="H9" i="11"/>
  <c r="H8" i="11"/>
  <c r="H7" i="11"/>
  <c r="H6" i="11"/>
  <c r="U28" i="10"/>
  <c r="N28" i="11" s="1"/>
  <c r="T28" i="10"/>
  <c r="M28" i="11" s="1"/>
  <c r="S28" i="10"/>
  <c r="L28" i="11" s="1"/>
  <c r="R28" i="10"/>
  <c r="K28" i="11" s="1"/>
  <c r="Q28" i="10"/>
  <c r="J28" i="11" s="1"/>
  <c r="P28" i="10"/>
  <c r="I28" i="11" s="1"/>
  <c r="O28" i="11" s="1"/>
  <c r="U25" i="10"/>
  <c r="N25" i="11" s="1"/>
  <c r="T25" i="10"/>
  <c r="S25" i="10"/>
  <c r="L25" i="11" s="1"/>
  <c r="R25" i="10"/>
  <c r="Q25" i="10"/>
  <c r="J25" i="11" s="1"/>
  <c r="P25" i="10"/>
  <c r="I25" i="11" s="1"/>
  <c r="O25" i="11" s="1"/>
  <c r="U23" i="10"/>
  <c r="N23" i="11" s="1"/>
  <c r="M23" i="11"/>
  <c r="S23" i="10"/>
  <c r="L23" i="11" s="1"/>
  <c r="R23" i="10"/>
  <c r="K23" i="11" s="1"/>
  <c r="Q23" i="10"/>
  <c r="J23" i="11" s="1"/>
  <c r="P23" i="11" s="1"/>
  <c r="P23" i="10"/>
  <c r="I23" i="11" s="1"/>
  <c r="O23" i="11" s="1"/>
  <c r="S18" i="10"/>
  <c r="R18" i="10"/>
  <c r="Q18" i="10"/>
  <c r="P18" i="10"/>
  <c r="U17" i="10"/>
  <c r="N17" i="11" s="1"/>
  <c r="T17" i="10"/>
  <c r="M17" i="11" s="1"/>
  <c r="S17" i="10"/>
  <c r="R17" i="10"/>
  <c r="K17" i="11" s="1"/>
  <c r="Q17" i="10"/>
  <c r="J17" i="11" s="1"/>
  <c r="P17" i="10"/>
  <c r="U16" i="10"/>
  <c r="N16" i="11" s="1"/>
  <c r="T16" i="10"/>
  <c r="M16" i="11" s="1"/>
  <c r="S16" i="10"/>
  <c r="L16" i="11" s="1"/>
  <c r="R16" i="10"/>
  <c r="K16" i="11" s="1"/>
  <c r="Q16" i="11" s="1"/>
  <c r="Q16" i="10"/>
  <c r="J16" i="11" s="1"/>
  <c r="P16" i="11" s="1"/>
  <c r="P16" i="10"/>
  <c r="I16" i="11" s="1"/>
  <c r="O16" i="11" s="1"/>
  <c r="U15" i="10"/>
  <c r="T15" i="10"/>
  <c r="M15" i="11" s="1"/>
  <c r="S15" i="10"/>
  <c r="L15" i="11" s="1"/>
  <c r="R15" i="10"/>
  <c r="K15" i="11" s="1"/>
  <c r="Q15" i="10"/>
  <c r="J15" i="11" s="1"/>
  <c r="P15" i="11" s="1"/>
  <c r="P15" i="10"/>
  <c r="I15" i="11" s="1"/>
  <c r="O15" i="11" s="1"/>
  <c r="S14" i="10"/>
  <c r="R14" i="10"/>
  <c r="Q14" i="10"/>
  <c r="P14" i="10"/>
  <c r="U13" i="10"/>
  <c r="N13" i="11" s="1"/>
  <c r="T13" i="10"/>
  <c r="M13" i="11" s="1"/>
  <c r="S13" i="10"/>
  <c r="L13" i="11" s="1"/>
  <c r="R13" i="10"/>
  <c r="K13" i="11" s="1"/>
  <c r="Q13" i="10"/>
  <c r="J13" i="11" s="1"/>
  <c r="P13" i="11" s="1"/>
  <c r="P13" i="10"/>
  <c r="I13" i="11" s="1"/>
  <c r="O13" i="11" s="1"/>
  <c r="U12" i="10"/>
  <c r="N12" i="11" s="1"/>
  <c r="T12" i="10"/>
  <c r="M12" i="11" s="1"/>
  <c r="S12" i="10"/>
  <c r="L12" i="11" s="1"/>
  <c r="R12" i="10"/>
  <c r="K12" i="11" s="1"/>
  <c r="Q12" i="10"/>
  <c r="P12" i="10"/>
  <c r="I12" i="11" s="1"/>
  <c r="O12" i="11" s="1"/>
  <c r="B12" i="10"/>
  <c r="U11" i="10"/>
  <c r="N11" i="11" s="1"/>
  <c r="T11" i="10"/>
  <c r="M11" i="11" s="1"/>
  <c r="S11" i="10"/>
  <c r="L11" i="11" s="1"/>
  <c r="R11" i="10"/>
  <c r="K11" i="11" s="1"/>
  <c r="Q11" i="10"/>
  <c r="J11" i="11" s="1"/>
  <c r="P11" i="11" s="1"/>
  <c r="P11" i="10"/>
  <c r="I11" i="11" s="1"/>
  <c r="O11" i="11" s="1"/>
  <c r="U10" i="10"/>
  <c r="N10" i="11" s="1"/>
  <c r="T10" i="10"/>
  <c r="M10" i="11" s="1"/>
  <c r="S10" i="10"/>
  <c r="L10" i="11" s="1"/>
  <c r="R10" i="10"/>
  <c r="K10" i="11" s="1"/>
  <c r="Q10" i="10"/>
  <c r="J10" i="11" s="1"/>
  <c r="P10" i="11" s="1"/>
  <c r="P10" i="10"/>
  <c r="I10" i="11" s="1"/>
  <c r="O10" i="11" s="1"/>
  <c r="B10" i="10"/>
  <c r="U9" i="10"/>
  <c r="N9" i="11" s="1"/>
  <c r="T9" i="10"/>
  <c r="M9" i="11" s="1"/>
  <c r="S9" i="10"/>
  <c r="L9" i="11" s="1"/>
  <c r="R9" i="10"/>
  <c r="K9" i="11" s="1"/>
  <c r="Q9" i="10"/>
  <c r="J9" i="11" s="1"/>
  <c r="P9" i="11" s="1"/>
  <c r="P9" i="10"/>
  <c r="I9" i="11" s="1"/>
  <c r="O9" i="11" s="1"/>
  <c r="U8" i="10"/>
  <c r="N8" i="11" s="1"/>
  <c r="T8" i="10"/>
  <c r="M8" i="11" s="1"/>
  <c r="S8" i="10"/>
  <c r="L8" i="11" s="1"/>
  <c r="R8" i="10"/>
  <c r="K8" i="11" s="1"/>
  <c r="Q8" i="10"/>
  <c r="J8" i="11" s="1"/>
  <c r="P8" i="11" s="1"/>
  <c r="P8" i="10"/>
  <c r="I8" i="11" s="1"/>
  <c r="O8" i="11" s="1"/>
  <c r="U7" i="10"/>
  <c r="N7" i="11" s="1"/>
  <c r="T7" i="10"/>
  <c r="M7" i="11" s="1"/>
  <c r="S7" i="10"/>
  <c r="L7" i="11" s="1"/>
  <c r="R7" i="10"/>
  <c r="K7" i="11" s="1"/>
  <c r="Q7" i="10"/>
  <c r="J7" i="11" s="1"/>
  <c r="P7" i="11" s="1"/>
  <c r="P7" i="10"/>
  <c r="I7" i="11" s="1"/>
  <c r="O7" i="11" s="1"/>
  <c r="U6" i="10"/>
  <c r="N6" i="11" s="1"/>
  <c r="T6" i="10"/>
  <c r="M6" i="11" s="1"/>
  <c r="S6" i="10"/>
  <c r="L6" i="11" s="1"/>
  <c r="R6" i="10"/>
  <c r="K6" i="11" s="1"/>
  <c r="Q6" i="10"/>
  <c r="J6" i="11" s="1"/>
  <c r="P6" i="11" s="1"/>
  <c r="P6" i="10"/>
  <c r="I6" i="11" s="1"/>
  <c r="H30" i="11" l="1"/>
  <c r="U31" i="10"/>
  <c r="N15" i="11"/>
  <c r="N30" i="11" s="1"/>
  <c r="L17" i="11"/>
  <c r="S31" i="10"/>
  <c r="L30" i="11"/>
  <c r="I17" i="11"/>
  <c r="I30" i="11" s="1"/>
  <c r="P31" i="10"/>
  <c r="M25" i="11"/>
  <c r="M30" i="11" s="1"/>
  <c r="T31" i="10"/>
  <c r="K25" i="11"/>
  <c r="K30" i="11" s="1"/>
  <c r="R31" i="10"/>
  <c r="J12" i="11"/>
  <c r="J30" i="11" s="1"/>
  <c r="Q31" i="10"/>
  <c r="O17" i="11"/>
  <c r="K71" i="7"/>
  <c r="V71" i="7"/>
  <c r="F70" i="3"/>
  <c r="O6" i="11"/>
  <c r="AD71" i="7" l="1"/>
  <c r="D70" i="3" s="1"/>
  <c r="AB70" i="3" s="1"/>
  <c r="P12" i="11"/>
  <c r="O30" i="11"/>
  <c r="Q12" i="11" l="1"/>
  <c r="R16" i="11" l="1"/>
  <c r="U16" i="11" s="1"/>
  <c r="S25" i="11"/>
  <c r="T28" i="11" l="1"/>
  <c r="S28" i="11"/>
  <c r="S30" i="11" s="1"/>
  <c r="R25" i="11"/>
  <c r="Q28" i="11"/>
  <c r="P25" i="11"/>
  <c r="R28" i="11"/>
  <c r="Q25" i="11"/>
  <c r="P28" i="11"/>
  <c r="R23" i="11"/>
  <c r="Q23" i="11"/>
  <c r="Q17" i="11"/>
  <c r="R17" i="11"/>
  <c r="R15" i="11"/>
  <c r="Q15" i="11"/>
  <c r="Q9" i="11"/>
  <c r="R13" i="11"/>
  <c r="R12" i="11"/>
  <c r="U12" i="11" s="1"/>
  <c r="R9" i="11"/>
  <c r="R7" i="11"/>
  <c r="Q11" i="11"/>
  <c r="Q10" i="11"/>
  <c r="Q6" i="11"/>
  <c r="Q8" i="11"/>
  <c r="R11" i="11"/>
  <c r="R10" i="11"/>
  <c r="R8" i="11"/>
  <c r="Q13" i="11"/>
  <c r="Q7" i="11"/>
  <c r="Q30" i="11" l="1"/>
  <c r="U15" i="11"/>
  <c r="U23" i="11"/>
  <c r="U28" i="11"/>
  <c r="U13" i="11"/>
  <c r="U10" i="11"/>
  <c r="U7" i="11"/>
  <c r="T25" i="11"/>
  <c r="T30" i="11" s="1"/>
  <c r="U11" i="11"/>
  <c r="P17" i="11"/>
  <c r="P30" i="11" s="1"/>
  <c r="R6" i="11"/>
  <c r="R30" i="11" s="1"/>
  <c r="U9" i="11"/>
  <c r="U8" i="11"/>
  <c r="U25" i="11" l="1"/>
  <c r="U6" i="11"/>
  <c r="U17" i="11"/>
  <c r="U30" i="11" s="1"/>
  <c r="AA34" i="3"/>
  <c r="Y34" i="1"/>
  <c r="O35" i="7" s="1"/>
  <c r="AA34" i="1"/>
  <c r="R35" i="7" s="1"/>
  <c r="AB35" i="7" s="1"/>
  <c r="V34" i="1"/>
  <c r="U34" i="1"/>
  <c r="I35" i="7" s="1"/>
  <c r="J35" i="7"/>
  <c r="W35" i="7" s="1"/>
  <c r="H35" i="7"/>
  <c r="AB34" i="1"/>
  <c r="S35" i="7" s="1"/>
  <c r="AC35" i="7" s="1"/>
  <c r="Z34" i="1"/>
  <c r="Q35" i="7" s="1"/>
  <c r="X34" i="1"/>
  <c r="N35" i="7" s="1"/>
  <c r="Y35" i="7" s="1"/>
  <c r="F34" i="3" l="1"/>
  <c r="U35" i="7"/>
  <c r="P35" i="7"/>
  <c r="Q34" i="3"/>
  <c r="AA35" i="7"/>
  <c r="Z35" i="7"/>
  <c r="T35" i="7"/>
  <c r="K35" i="7"/>
  <c r="V35" i="7"/>
  <c r="AD35" i="7" s="1"/>
  <c r="J34" i="3"/>
  <c r="AA23" i="3"/>
  <c r="O24" i="7"/>
  <c r="Z24" i="7" s="1"/>
  <c r="N24" i="7"/>
  <c r="Y24" i="7" s="1"/>
  <c r="J24" i="7"/>
  <c r="W24" i="7" s="1"/>
  <c r="AB23" i="1"/>
  <c r="S24" i="7" s="1"/>
  <c r="AC24" i="7" s="1"/>
  <c r="AA23" i="1"/>
  <c r="R24" i="7" s="1"/>
  <c r="AB24" i="7" s="1"/>
  <c r="Z23" i="1"/>
  <c r="Q24" i="7" s="1"/>
  <c r="AA24" i="7" s="1"/>
  <c r="U23" i="1"/>
  <c r="I24" i="7" s="1"/>
  <c r="F23" i="3" l="1"/>
  <c r="U24" i="7"/>
  <c r="Q23" i="3"/>
  <c r="J23" i="3"/>
  <c r="D34" i="3"/>
  <c r="AB34" i="3" s="1"/>
  <c r="P24" i="7"/>
  <c r="T24" i="7"/>
  <c r="V24" i="7"/>
  <c r="K24" i="7"/>
  <c r="AD24" i="7" l="1"/>
  <c r="D23" i="3" s="1"/>
  <c r="AB23" i="3" s="1"/>
  <c r="H24" i="7"/>
  <c r="C30" i="3" l="1"/>
  <c r="C23" i="3" l="1"/>
  <c r="C34" i="3"/>
  <c r="AB69" i="1" l="1"/>
  <c r="Z69" i="1"/>
  <c r="Y69" i="1"/>
  <c r="X69" i="1"/>
  <c r="U69" i="1"/>
  <c r="U40" i="1"/>
  <c r="Z40" i="1"/>
  <c r="X40" i="1"/>
  <c r="G73" i="3" l="1"/>
  <c r="H73" i="3"/>
  <c r="I73" i="3"/>
  <c r="P73" i="3"/>
  <c r="V73" i="3"/>
  <c r="W73" i="3"/>
  <c r="X11" i="1"/>
  <c r="N12" i="7" s="1"/>
  <c r="AA12" i="3"/>
  <c r="AA9" i="3"/>
  <c r="AA10" i="3"/>
  <c r="AA11" i="3"/>
  <c r="AA13" i="3"/>
  <c r="AA15" i="3"/>
  <c r="AA16" i="3"/>
  <c r="AA17" i="3"/>
  <c r="AB17" i="3" s="1"/>
  <c r="AA18" i="3"/>
  <c r="AA19" i="3"/>
  <c r="AA20" i="3"/>
  <c r="AA24" i="3"/>
  <c r="AA25" i="3"/>
  <c r="AA26" i="3"/>
  <c r="AB26" i="3" s="1"/>
  <c r="AA27" i="3"/>
  <c r="AA28" i="3"/>
  <c r="AA29" i="3"/>
  <c r="AA30" i="3"/>
  <c r="AA31" i="3"/>
  <c r="AA32" i="3"/>
  <c r="AA33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B67" i="3" s="1"/>
  <c r="AA68" i="3"/>
  <c r="AA69" i="3"/>
  <c r="AA71" i="3"/>
  <c r="AA72" i="3"/>
  <c r="U51" i="1"/>
  <c r="I52" i="7" s="1"/>
  <c r="Z51" i="1"/>
  <c r="Q52" i="7" s="1"/>
  <c r="AB51" i="1"/>
  <c r="S52" i="7" s="1"/>
  <c r="AC52" i="7" s="1"/>
  <c r="Z68" i="1"/>
  <c r="Q69" i="7" s="1"/>
  <c r="I70" i="7"/>
  <c r="N70" i="7"/>
  <c r="O70" i="7"/>
  <c r="Z70" i="7" s="1"/>
  <c r="Q70" i="7"/>
  <c r="AA70" i="7" s="1"/>
  <c r="S70" i="7"/>
  <c r="AC70" i="7" s="1"/>
  <c r="U71" i="1"/>
  <c r="I72" i="7" s="1"/>
  <c r="AA71" i="1"/>
  <c r="R72" i="7" s="1"/>
  <c r="AB72" i="7" s="1"/>
  <c r="AB71" i="1"/>
  <c r="S72" i="7" s="1"/>
  <c r="AC72" i="7" s="1"/>
  <c r="Z61" i="1"/>
  <c r="Q62" i="7" s="1"/>
  <c r="AA62" i="1"/>
  <c r="R63" i="7" s="1"/>
  <c r="AB63" i="7" s="1"/>
  <c r="Z38" i="1"/>
  <c r="Q39" i="7" s="1"/>
  <c r="I41" i="7"/>
  <c r="N41" i="7"/>
  <c r="Y41" i="7" s="1"/>
  <c r="Q41" i="7"/>
  <c r="AA41" i="7" s="1"/>
  <c r="U42" i="1"/>
  <c r="I43" i="7" s="1"/>
  <c r="Z43" i="1"/>
  <c r="Q44" i="7" s="1"/>
  <c r="U45" i="1"/>
  <c r="I46" i="7" s="1"/>
  <c r="Z45" i="1"/>
  <c r="Q46" i="7" s="1"/>
  <c r="X30" i="1"/>
  <c r="N31" i="7" s="1"/>
  <c r="Y30" i="1"/>
  <c r="Z30" i="1"/>
  <c r="Q31" i="7" s="1"/>
  <c r="AB30" i="1"/>
  <c r="S31" i="7" s="1"/>
  <c r="Z31" i="1"/>
  <c r="Q32" i="7" s="1"/>
  <c r="AB31" i="1"/>
  <c r="S32" i="7" s="1"/>
  <c r="Z33" i="1"/>
  <c r="Q34" i="7" s="1"/>
  <c r="U19" i="1"/>
  <c r="I20" i="7" s="1"/>
  <c r="X19" i="1"/>
  <c r="N20" i="7" s="1"/>
  <c r="Z19" i="1"/>
  <c r="Q20" i="7" s="1"/>
  <c r="AA19" i="1"/>
  <c r="R20" i="7" s="1"/>
  <c r="AB20" i="7" s="1"/>
  <c r="AB19" i="1"/>
  <c r="S20" i="7" s="1"/>
  <c r="AC20" i="7" s="1"/>
  <c r="U21" i="1"/>
  <c r="I22" i="7" s="1"/>
  <c r="Z21" i="1"/>
  <c r="Q22" i="7" s="1"/>
  <c r="AA22" i="7" s="1"/>
  <c r="U24" i="1"/>
  <c r="I25" i="7" s="1"/>
  <c r="X24" i="1"/>
  <c r="N25" i="7" s="1"/>
  <c r="Z24" i="1"/>
  <c r="Q25" i="7" s="1"/>
  <c r="X13" i="1"/>
  <c r="N14" i="7" s="1"/>
  <c r="AB14" i="1"/>
  <c r="S15" i="7" s="1"/>
  <c r="X15" i="1"/>
  <c r="Z15" i="1"/>
  <c r="Q16" i="7" s="1"/>
  <c r="U55" i="1"/>
  <c r="I56" i="7" s="1"/>
  <c r="Y55" i="1"/>
  <c r="O56" i="7" s="1"/>
  <c r="Z56" i="7" s="1"/>
  <c r="Z55" i="1"/>
  <c r="Q56" i="7" s="1"/>
  <c r="I10" i="7"/>
  <c r="U10" i="1"/>
  <c r="I11" i="7" s="1"/>
  <c r="U13" i="1"/>
  <c r="I14" i="7" s="1"/>
  <c r="C54" i="3"/>
  <c r="B54" i="3"/>
  <c r="U54" i="1"/>
  <c r="I55" i="7" s="1"/>
  <c r="X54" i="1"/>
  <c r="N55" i="7" s="1"/>
  <c r="Y54" i="1"/>
  <c r="O55" i="7" s="1"/>
  <c r="Z55" i="7" s="1"/>
  <c r="Z54" i="1"/>
  <c r="Q55" i="7" s="1"/>
  <c r="AB54" i="1"/>
  <c r="S55" i="7" s="1"/>
  <c r="AC55" i="7" s="1"/>
  <c r="H55" i="7"/>
  <c r="V54" i="1"/>
  <c r="J55" i="7" s="1"/>
  <c r="W55" i="7" s="1"/>
  <c r="AA54" i="1"/>
  <c r="R55" i="7" s="1"/>
  <c r="AB55" i="7" s="1"/>
  <c r="B54" i="1"/>
  <c r="I13" i="7"/>
  <c r="N13" i="7"/>
  <c r="Q13" i="7"/>
  <c r="V12" i="1"/>
  <c r="J13" i="7" s="1"/>
  <c r="W13" i="7" s="1"/>
  <c r="O13" i="7"/>
  <c r="Z13" i="7" s="1"/>
  <c r="R13" i="7"/>
  <c r="AB13" i="7" s="1"/>
  <c r="S13" i="7"/>
  <c r="AC13" i="7" s="1"/>
  <c r="C12" i="3"/>
  <c r="V10" i="1"/>
  <c r="J11" i="7" s="1"/>
  <c r="W11" i="7" s="1"/>
  <c r="X10" i="1"/>
  <c r="N11" i="7" s="1"/>
  <c r="Y10" i="1"/>
  <c r="O11" i="7" s="1"/>
  <c r="Z11" i="7" s="1"/>
  <c r="Z10" i="1"/>
  <c r="Q11" i="7" s="1"/>
  <c r="AA10" i="1"/>
  <c r="R11" i="7" s="1"/>
  <c r="AB11" i="7" s="1"/>
  <c r="AB10" i="1"/>
  <c r="S11" i="7" s="1"/>
  <c r="AC11" i="7" s="1"/>
  <c r="U11" i="1"/>
  <c r="I12" i="7" s="1"/>
  <c r="V11" i="1"/>
  <c r="J12" i="7" s="1"/>
  <c r="W12" i="7" s="1"/>
  <c r="Y11" i="1"/>
  <c r="O12" i="7" s="1"/>
  <c r="Z12" i="7" s="1"/>
  <c r="Z11" i="1"/>
  <c r="Q12" i="7" s="1"/>
  <c r="AA11" i="1"/>
  <c r="R12" i="7" s="1"/>
  <c r="AB12" i="7" s="1"/>
  <c r="AB11" i="1"/>
  <c r="S12" i="7" s="1"/>
  <c r="AC12" i="7" s="1"/>
  <c r="V13" i="1"/>
  <c r="J14" i="7" s="1"/>
  <c r="W14" i="7" s="1"/>
  <c r="Y13" i="1"/>
  <c r="O14" i="7" s="1"/>
  <c r="Z14" i="7" s="1"/>
  <c r="Z13" i="1"/>
  <c r="Q14" i="7" s="1"/>
  <c r="AA13" i="1"/>
  <c r="R14" i="7" s="1"/>
  <c r="AB14" i="7" s="1"/>
  <c r="AB13" i="1"/>
  <c r="S14" i="7" s="1"/>
  <c r="AC14" i="7" s="1"/>
  <c r="U14" i="1"/>
  <c r="I15" i="7" s="1"/>
  <c r="V14" i="1"/>
  <c r="J15" i="7" s="1"/>
  <c r="W15" i="7" s="1"/>
  <c r="X14" i="1"/>
  <c r="N15" i="7" s="1"/>
  <c r="Y14" i="1"/>
  <c r="O15" i="7" s="1"/>
  <c r="Z15" i="7" s="1"/>
  <c r="AA14" i="1"/>
  <c r="U15" i="1"/>
  <c r="I16" i="7" s="1"/>
  <c r="V15" i="1"/>
  <c r="J16" i="7" s="1"/>
  <c r="W16" i="7" s="1"/>
  <c r="Y15" i="1"/>
  <c r="O16" i="7" s="1"/>
  <c r="Z16" i="7" s="1"/>
  <c r="AA15" i="1"/>
  <c r="R16" i="7" s="1"/>
  <c r="AB16" i="7" s="1"/>
  <c r="AB15" i="1"/>
  <c r="S16" i="7" s="1"/>
  <c r="AC16" i="7" s="1"/>
  <c r="U16" i="1"/>
  <c r="I17" i="7" s="1"/>
  <c r="V16" i="1"/>
  <c r="J17" i="7" s="1"/>
  <c r="W17" i="7" s="1"/>
  <c r="X16" i="1"/>
  <c r="N17" i="7" s="1"/>
  <c r="Y16" i="1"/>
  <c r="O17" i="7" s="1"/>
  <c r="Z17" i="7" s="1"/>
  <c r="Z16" i="1"/>
  <c r="Q17" i="7" s="1"/>
  <c r="AA16" i="1"/>
  <c r="R17" i="7" s="1"/>
  <c r="AB17" i="7" s="1"/>
  <c r="AB16" i="1"/>
  <c r="S17" i="7" s="1"/>
  <c r="AC17" i="7" s="1"/>
  <c r="V19" i="1"/>
  <c r="J20" i="7" s="1"/>
  <c r="W20" i="7" s="1"/>
  <c r="Y19" i="1"/>
  <c r="O20" i="7" s="1"/>
  <c r="Z20" i="7" s="1"/>
  <c r="U20" i="1"/>
  <c r="I21" i="7" s="1"/>
  <c r="F20" i="3" s="1"/>
  <c r="V20" i="1"/>
  <c r="J21" i="7" s="1"/>
  <c r="X20" i="1"/>
  <c r="N21" i="7" s="1"/>
  <c r="Y20" i="1"/>
  <c r="O21" i="7" s="1"/>
  <c r="Z20" i="1"/>
  <c r="Q21" i="7" s="1"/>
  <c r="AA20" i="1"/>
  <c r="R21" i="7" s="1"/>
  <c r="AB20" i="1"/>
  <c r="S21" i="7" s="1"/>
  <c r="V21" i="1"/>
  <c r="J22" i="7" s="1"/>
  <c r="W22" i="7" s="1"/>
  <c r="X21" i="1"/>
  <c r="N22" i="7" s="1"/>
  <c r="Y21" i="1"/>
  <c r="O22" i="7" s="1"/>
  <c r="Z22" i="7" s="1"/>
  <c r="AA21" i="1"/>
  <c r="R22" i="7" s="1"/>
  <c r="AB21" i="1"/>
  <c r="S22" i="7" s="1"/>
  <c r="AC22" i="7" s="1"/>
  <c r="U22" i="1"/>
  <c r="V22" i="1"/>
  <c r="J23" i="7" s="1"/>
  <c r="W23" i="7" s="1"/>
  <c r="X22" i="1"/>
  <c r="N23" i="7" s="1"/>
  <c r="Y22" i="1"/>
  <c r="O23" i="7" s="1"/>
  <c r="Z23" i="7" s="1"/>
  <c r="Z22" i="1"/>
  <c r="Q23" i="7" s="1"/>
  <c r="AA22" i="1"/>
  <c r="R23" i="7" s="1"/>
  <c r="AB23" i="7" s="1"/>
  <c r="AB22" i="1"/>
  <c r="S23" i="7" s="1"/>
  <c r="AC23" i="7" s="1"/>
  <c r="V24" i="1"/>
  <c r="J25" i="7" s="1"/>
  <c r="W25" i="7" s="1"/>
  <c r="Y24" i="1"/>
  <c r="O25" i="7" s="1"/>
  <c r="AA24" i="1"/>
  <c r="R25" i="7" s="1"/>
  <c r="AB25" i="7" s="1"/>
  <c r="AB24" i="1"/>
  <c r="S25" i="7" s="1"/>
  <c r="AC25" i="7" s="1"/>
  <c r="U27" i="1"/>
  <c r="I28" i="7" s="1"/>
  <c r="V27" i="1"/>
  <c r="J28" i="7" s="1"/>
  <c r="X27" i="1"/>
  <c r="N28" i="7" s="1"/>
  <c r="Y27" i="1"/>
  <c r="O28" i="7" s="1"/>
  <c r="Z28" i="7" s="1"/>
  <c r="Z27" i="1"/>
  <c r="Q28" i="7" s="1"/>
  <c r="AA27" i="1"/>
  <c r="R28" i="7" s="1"/>
  <c r="AB27" i="1"/>
  <c r="S28" i="7" s="1"/>
  <c r="U28" i="1"/>
  <c r="I29" i="7" s="1"/>
  <c r="V28" i="1"/>
  <c r="J29" i="7" s="1"/>
  <c r="W29" i="7" s="1"/>
  <c r="X28" i="1"/>
  <c r="N29" i="7" s="1"/>
  <c r="Y28" i="1"/>
  <c r="O29" i="7" s="1"/>
  <c r="Z29" i="7" s="1"/>
  <c r="Z28" i="1"/>
  <c r="Q29" i="7" s="1"/>
  <c r="AA28" i="1"/>
  <c r="R29" i="7" s="1"/>
  <c r="AB29" i="7" s="1"/>
  <c r="AB28" i="1"/>
  <c r="S29" i="7" s="1"/>
  <c r="AC29" i="7" s="1"/>
  <c r="U29" i="1"/>
  <c r="I30" i="7" s="1"/>
  <c r="V29" i="1"/>
  <c r="J30" i="7" s="1"/>
  <c r="W30" i="7" s="1"/>
  <c r="X29" i="1"/>
  <c r="N30" i="7" s="1"/>
  <c r="Y29" i="1"/>
  <c r="O30" i="7" s="1"/>
  <c r="Z30" i="7" s="1"/>
  <c r="Z29" i="1"/>
  <c r="Q30" i="7" s="1"/>
  <c r="AA29" i="1"/>
  <c r="R30" i="7" s="1"/>
  <c r="AB30" i="7" s="1"/>
  <c r="AB29" i="1"/>
  <c r="S30" i="7" s="1"/>
  <c r="AC30" i="7" s="1"/>
  <c r="U30" i="1"/>
  <c r="I31" i="7" s="1"/>
  <c r="V30" i="1"/>
  <c r="J31" i="7" s="1"/>
  <c r="W31" i="7" s="1"/>
  <c r="AA30" i="1"/>
  <c r="R31" i="7" s="1"/>
  <c r="AB31" i="7" s="1"/>
  <c r="U31" i="1"/>
  <c r="I32" i="7" s="1"/>
  <c r="V31" i="1"/>
  <c r="J32" i="7" s="1"/>
  <c r="W32" i="7" s="1"/>
  <c r="X31" i="1"/>
  <c r="N32" i="7" s="1"/>
  <c r="Y31" i="1"/>
  <c r="O32" i="7" s="1"/>
  <c r="Z32" i="7" s="1"/>
  <c r="AA31" i="1"/>
  <c r="R32" i="7" s="1"/>
  <c r="AB32" i="7" s="1"/>
  <c r="U32" i="1"/>
  <c r="I33" i="7" s="1"/>
  <c r="V32" i="1"/>
  <c r="J33" i="7" s="1"/>
  <c r="W33" i="7" s="1"/>
  <c r="X32" i="1"/>
  <c r="N33" i="7" s="1"/>
  <c r="Y32" i="1"/>
  <c r="O33" i="7" s="1"/>
  <c r="Z33" i="7" s="1"/>
  <c r="Z32" i="1"/>
  <c r="Q33" i="7" s="1"/>
  <c r="AA32" i="1"/>
  <c r="R33" i="7" s="1"/>
  <c r="AB33" i="7" s="1"/>
  <c r="AB32" i="1"/>
  <c r="U33" i="1"/>
  <c r="I34" i="7" s="1"/>
  <c r="V33" i="1"/>
  <c r="J34" i="7" s="1"/>
  <c r="W34" i="7" s="1"/>
  <c r="X33" i="1"/>
  <c r="N34" i="7" s="1"/>
  <c r="Y33" i="1"/>
  <c r="O34" i="7" s="1"/>
  <c r="Z34" i="7" s="1"/>
  <c r="AA33" i="1"/>
  <c r="R34" i="7" s="1"/>
  <c r="AB34" i="7" s="1"/>
  <c r="AB33" i="1"/>
  <c r="S34" i="7" s="1"/>
  <c r="AC34" i="7" s="1"/>
  <c r="U35" i="1"/>
  <c r="I36" i="7" s="1"/>
  <c r="V35" i="1"/>
  <c r="J36" i="7" s="1"/>
  <c r="W36" i="7" s="1"/>
  <c r="X35" i="1"/>
  <c r="N36" i="7" s="1"/>
  <c r="Y35" i="1"/>
  <c r="O36" i="7" s="1"/>
  <c r="Z36" i="7" s="1"/>
  <c r="Z35" i="1"/>
  <c r="Q36" i="7" s="1"/>
  <c r="AA35" i="1"/>
  <c r="R36" i="7" s="1"/>
  <c r="AB36" i="7" s="1"/>
  <c r="AB35" i="1"/>
  <c r="S36" i="7" s="1"/>
  <c r="AC36" i="7" s="1"/>
  <c r="V9" i="1"/>
  <c r="J10" i="7" s="1"/>
  <c r="W10" i="7" s="1"/>
  <c r="N10" i="7"/>
  <c r="U38" i="1"/>
  <c r="I39" i="7" s="1"/>
  <c r="K39" i="7" s="1"/>
  <c r="V38" i="1"/>
  <c r="J39" i="7" s="1"/>
  <c r="W39" i="7" s="1"/>
  <c r="X38" i="1"/>
  <c r="N39" i="7" s="1"/>
  <c r="Y38" i="1"/>
  <c r="O39" i="7" s="1"/>
  <c r="Z39" i="7" s="1"/>
  <c r="AA38" i="1"/>
  <c r="R39" i="7" s="1"/>
  <c r="AB39" i="7" s="1"/>
  <c r="AB38" i="1"/>
  <c r="S39" i="7" s="1"/>
  <c r="U39" i="1"/>
  <c r="I40" i="7" s="1"/>
  <c r="V39" i="1"/>
  <c r="J40" i="7" s="1"/>
  <c r="W40" i="7" s="1"/>
  <c r="X39" i="1"/>
  <c r="N40" i="7" s="1"/>
  <c r="P40" i="7" s="1"/>
  <c r="Y39" i="1"/>
  <c r="O40" i="7" s="1"/>
  <c r="Z40" i="7" s="1"/>
  <c r="Z39" i="1"/>
  <c r="Q40" i="7" s="1"/>
  <c r="AA39" i="1"/>
  <c r="R40" i="7" s="1"/>
  <c r="AB40" i="7" s="1"/>
  <c r="AB39" i="1"/>
  <c r="S40" i="7" s="1"/>
  <c r="V40" i="1"/>
  <c r="J41" i="7" s="1"/>
  <c r="W41" i="7" s="1"/>
  <c r="Y40" i="1"/>
  <c r="O41" i="7" s="1"/>
  <c r="AA40" i="1"/>
  <c r="R41" i="7" s="1"/>
  <c r="AB40" i="1"/>
  <c r="S41" i="7" s="1"/>
  <c r="U41" i="1"/>
  <c r="I42" i="7" s="1"/>
  <c r="V41" i="1"/>
  <c r="J42" i="7" s="1"/>
  <c r="W42" i="7" s="1"/>
  <c r="X41" i="1"/>
  <c r="N42" i="7" s="1"/>
  <c r="Y41" i="1"/>
  <c r="O42" i="7" s="1"/>
  <c r="Z42" i="7" s="1"/>
  <c r="Z41" i="1"/>
  <c r="Q42" i="7" s="1"/>
  <c r="AA41" i="1"/>
  <c r="R42" i="7" s="1"/>
  <c r="AB42" i="7" s="1"/>
  <c r="AB41" i="1"/>
  <c r="S42" i="7" s="1"/>
  <c r="V42" i="1"/>
  <c r="J43" i="7" s="1"/>
  <c r="W43" i="7" s="1"/>
  <c r="X42" i="1"/>
  <c r="N43" i="7" s="1"/>
  <c r="Y42" i="1"/>
  <c r="O43" i="7" s="1"/>
  <c r="Z43" i="7" s="1"/>
  <c r="Z42" i="1"/>
  <c r="Q43" i="7" s="1"/>
  <c r="AA42" i="1"/>
  <c r="R43" i="7" s="1"/>
  <c r="AB43" i="7" s="1"/>
  <c r="AB42" i="1"/>
  <c r="S43" i="7" s="1"/>
  <c r="U43" i="1"/>
  <c r="I44" i="7" s="1"/>
  <c r="K44" i="7" s="1"/>
  <c r="V43" i="1"/>
  <c r="J44" i="7" s="1"/>
  <c r="W44" i="7" s="1"/>
  <c r="X43" i="1"/>
  <c r="N44" i="7" s="1"/>
  <c r="Y43" i="1"/>
  <c r="O44" i="7" s="1"/>
  <c r="Z44" i="7" s="1"/>
  <c r="AA43" i="1"/>
  <c r="R44" i="7" s="1"/>
  <c r="AB44" i="7" s="1"/>
  <c r="AB43" i="1"/>
  <c r="S44" i="7" s="1"/>
  <c r="U44" i="1"/>
  <c r="I45" i="7" s="1"/>
  <c r="V44" i="1"/>
  <c r="J45" i="7" s="1"/>
  <c r="W45" i="7" s="1"/>
  <c r="X44" i="1"/>
  <c r="N45" i="7" s="1"/>
  <c r="P45" i="7" s="1"/>
  <c r="Y44" i="1"/>
  <c r="O45" i="7" s="1"/>
  <c r="Z45" i="7" s="1"/>
  <c r="Z44" i="1"/>
  <c r="Q45" i="7" s="1"/>
  <c r="AA44" i="1"/>
  <c r="R45" i="7" s="1"/>
  <c r="AB45" i="7" s="1"/>
  <c r="AB44" i="1"/>
  <c r="S45" i="7" s="1"/>
  <c r="V45" i="1"/>
  <c r="J46" i="7" s="1"/>
  <c r="W46" i="7" s="1"/>
  <c r="X45" i="1"/>
  <c r="N46" i="7" s="1"/>
  <c r="Y45" i="1"/>
  <c r="O46" i="7" s="1"/>
  <c r="Z46" i="7" s="1"/>
  <c r="AA45" i="1"/>
  <c r="R46" i="7" s="1"/>
  <c r="AB46" i="7" s="1"/>
  <c r="AB45" i="1"/>
  <c r="S46" i="7" s="1"/>
  <c r="U46" i="1"/>
  <c r="I47" i="7" s="1"/>
  <c r="V46" i="1"/>
  <c r="J47" i="7" s="1"/>
  <c r="W47" i="7" s="1"/>
  <c r="X46" i="1"/>
  <c r="N47" i="7" s="1"/>
  <c r="Y46" i="1"/>
  <c r="O47" i="7" s="1"/>
  <c r="Z47" i="7" s="1"/>
  <c r="Z46" i="1"/>
  <c r="Q47" i="7" s="1"/>
  <c r="AA46" i="1"/>
  <c r="R47" i="7" s="1"/>
  <c r="AB47" i="7" s="1"/>
  <c r="AB46" i="1"/>
  <c r="S47" i="7" s="1"/>
  <c r="U47" i="1"/>
  <c r="I48" i="7" s="1"/>
  <c r="V47" i="1"/>
  <c r="J48" i="7" s="1"/>
  <c r="W48" i="7" s="1"/>
  <c r="X47" i="1"/>
  <c r="N48" i="7" s="1"/>
  <c r="Y47" i="1"/>
  <c r="O48" i="7" s="1"/>
  <c r="Z48" i="7" s="1"/>
  <c r="Z47" i="1"/>
  <c r="Q48" i="7" s="1"/>
  <c r="AA47" i="1"/>
  <c r="R48" i="7" s="1"/>
  <c r="AB48" i="7" s="1"/>
  <c r="AB47" i="1"/>
  <c r="S48" i="7" s="1"/>
  <c r="U50" i="1"/>
  <c r="I51" i="7" s="1"/>
  <c r="V50" i="1"/>
  <c r="J51" i="7" s="1"/>
  <c r="X50" i="1"/>
  <c r="N51" i="7" s="1"/>
  <c r="Y50" i="1"/>
  <c r="O51" i="7" s="1"/>
  <c r="Z50" i="1"/>
  <c r="Q51" i="7" s="1"/>
  <c r="AA50" i="1"/>
  <c r="R51" i="7" s="1"/>
  <c r="AB50" i="1"/>
  <c r="S51" i="7" s="1"/>
  <c r="V51" i="1"/>
  <c r="J52" i="7" s="1"/>
  <c r="W52" i="7" s="1"/>
  <c r="X51" i="1"/>
  <c r="N52" i="7" s="1"/>
  <c r="Y51" i="1"/>
  <c r="O52" i="7" s="1"/>
  <c r="Z52" i="7" s="1"/>
  <c r="AA51" i="1"/>
  <c r="R52" i="7" s="1"/>
  <c r="U52" i="1"/>
  <c r="I53" i="7" s="1"/>
  <c r="V52" i="1"/>
  <c r="J53" i="7" s="1"/>
  <c r="W53" i="7" s="1"/>
  <c r="X52" i="1"/>
  <c r="N53" i="7" s="1"/>
  <c r="Y52" i="1"/>
  <c r="O53" i="7" s="1"/>
  <c r="Z53" i="7" s="1"/>
  <c r="Z52" i="1"/>
  <c r="Q53" i="7" s="1"/>
  <c r="AA52" i="1"/>
  <c r="R53" i="7" s="1"/>
  <c r="AB53" i="7" s="1"/>
  <c r="AB52" i="1"/>
  <c r="S53" i="7" s="1"/>
  <c r="AC53" i="7" s="1"/>
  <c r="U53" i="1"/>
  <c r="I54" i="7" s="1"/>
  <c r="V53" i="1"/>
  <c r="J54" i="7" s="1"/>
  <c r="W54" i="7" s="1"/>
  <c r="X53" i="1"/>
  <c r="N54" i="7" s="1"/>
  <c r="Y53" i="1"/>
  <c r="O54" i="7" s="1"/>
  <c r="Z54" i="7" s="1"/>
  <c r="Z53" i="1"/>
  <c r="Q54" i="7" s="1"/>
  <c r="AA53" i="1"/>
  <c r="R54" i="7" s="1"/>
  <c r="AB54" i="7" s="1"/>
  <c r="AB53" i="1"/>
  <c r="S54" i="7" s="1"/>
  <c r="AC54" i="7" s="1"/>
  <c r="V55" i="1"/>
  <c r="J56" i="7" s="1"/>
  <c r="W56" i="7" s="1"/>
  <c r="X55" i="1"/>
  <c r="N56" i="7" s="1"/>
  <c r="AA55" i="1"/>
  <c r="R56" i="7" s="1"/>
  <c r="AB56" i="7" s="1"/>
  <c r="AB55" i="1"/>
  <c r="S56" i="7" s="1"/>
  <c r="AC56" i="7" s="1"/>
  <c r="U58" i="1"/>
  <c r="I59" i="7" s="1"/>
  <c r="V58" i="1"/>
  <c r="J59" i="7" s="1"/>
  <c r="X58" i="1"/>
  <c r="N59" i="7" s="1"/>
  <c r="Y58" i="1"/>
  <c r="O59" i="7" s="1"/>
  <c r="Z58" i="1"/>
  <c r="Q59" i="7" s="1"/>
  <c r="AA58" i="1"/>
  <c r="R59" i="7" s="1"/>
  <c r="AB58" i="1"/>
  <c r="S59" i="7" s="1"/>
  <c r="U59" i="1"/>
  <c r="I60" i="7" s="1"/>
  <c r="V59" i="1"/>
  <c r="J60" i="7" s="1"/>
  <c r="W60" i="7" s="1"/>
  <c r="X59" i="1"/>
  <c r="N60" i="7" s="1"/>
  <c r="Y59" i="1"/>
  <c r="O60" i="7" s="1"/>
  <c r="Z60" i="7" s="1"/>
  <c r="Z59" i="1"/>
  <c r="Q60" i="7" s="1"/>
  <c r="AA59" i="1"/>
  <c r="R60" i="7" s="1"/>
  <c r="AB60" i="7" s="1"/>
  <c r="AB59" i="1"/>
  <c r="S60" i="7" s="1"/>
  <c r="AC60" i="7" s="1"/>
  <c r="U60" i="1"/>
  <c r="I61" i="7" s="1"/>
  <c r="V60" i="1"/>
  <c r="J61" i="7" s="1"/>
  <c r="W61" i="7" s="1"/>
  <c r="X60" i="1"/>
  <c r="N61" i="7" s="1"/>
  <c r="Y60" i="1"/>
  <c r="O61" i="7" s="1"/>
  <c r="Z61" i="7" s="1"/>
  <c r="Z60" i="1"/>
  <c r="Q61" i="7" s="1"/>
  <c r="AA60" i="1"/>
  <c r="R61" i="7" s="1"/>
  <c r="AB61" i="7" s="1"/>
  <c r="AB60" i="1"/>
  <c r="S61" i="7" s="1"/>
  <c r="AC61" i="7" s="1"/>
  <c r="U61" i="1"/>
  <c r="I62" i="7" s="1"/>
  <c r="V61" i="1"/>
  <c r="J62" i="7" s="1"/>
  <c r="W62" i="7" s="1"/>
  <c r="X61" i="1"/>
  <c r="N62" i="7" s="1"/>
  <c r="Y61" i="1"/>
  <c r="O62" i="7" s="1"/>
  <c r="Z62" i="7" s="1"/>
  <c r="AA61" i="1"/>
  <c r="R62" i="7" s="1"/>
  <c r="AB62" i="7" s="1"/>
  <c r="AB61" i="1"/>
  <c r="S62" i="7" s="1"/>
  <c r="AC62" i="7" s="1"/>
  <c r="U62" i="1"/>
  <c r="I63" i="7" s="1"/>
  <c r="V62" i="1"/>
  <c r="J63" i="7" s="1"/>
  <c r="W63" i="7" s="1"/>
  <c r="X62" i="1"/>
  <c r="N63" i="7" s="1"/>
  <c r="Y62" i="1"/>
  <c r="O63" i="7" s="1"/>
  <c r="Z63" i="7" s="1"/>
  <c r="Z62" i="1"/>
  <c r="Q63" i="7" s="1"/>
  <c r="AB62" i="1"/>
  <c r="S63" i="7" s="1"/>
  <c r="AC63" i="7" s="1"/>
  <c r="U63" i="1"/>
  <c r="I64" i="7" s="1"/>
  <c r="V63" i="1"/>
  <c r="J64" i="7" s="1"/>
  <c r="W64" i="7" s="1"/>
  <c r="X63" i="1"/>
  <c r="N64" i="7" s="1"/>
  <c r="Y63" i="1"/>
  <c r="O64" i="7" s="1"/>
  <c r="Z64" i="7" s="1"/>
  <c r="Z63" i="1"/>
  <c r="Q64" i="7" s="1"/>
  <c r="AA63" i="1"/>
  <c r="R64" i="7" s="1"/>
  <c r="AB64" i="7" s="1"/>
  <c r="AB63" i="1"/>
  <c r="S64" i="7" s="1"/>
  <c r="AC64" i="7" s="1"/>
  <c r="U64" i="1"/>
  <c r="I65" i="7" s="1"/>
  <c r="V64" i="1"/>
  <c r="J65" i="7" s="1"/>
  <c r="W65" i="7" s="1"/>
  <c r="X64" i="1"/>
  <c r="Y64" i="1"/>
  <c r="O65" i="7" s="1"/>
  <c r="Z65" i="7" s="1"/>
  <c r="Z64" i="1"/>
  <c r="Q65" i="7" s="1"/>
  <c r="AA64" i="1"/>
  <c r="R65" i="7" s="1"/>
  <c r="AB65" i="7" s="1"/>
  <c r="AB64" i="1"/>
  <c r="S65" i="7" s="1"/>
  <c r="AC65" i="7" s="1"/>
  <c r="U65" i="1"/>
  <c r="I66" i="7" s="1"/>
  <c r="V65" i="1"/>
  <c r="J66" i="7" s="1"/>
  <c r="W66" i="7" s="1"/>
  <c r="X65" i="1"/>
  <c r="N66" i="7" s="1"/>
  <c r="Y65" i="1"/>
  <c r="O66" i="7" s="1"/>
  <c r="Z66" i="7" s="1"/>
  <c r="Z65" i="1"/>
  <c r="Q66" i="7" s="1"/>
  <c r="AA66" i="7" s="1"/>
  <c r="AA65" i="1"/>
  <c r="R66" i="7" s="1"/>
  <c r="AB66" i="7" s="1"/>
  <c r="AB65" i="1"/>
  <c r="S66" i="7" s="1"/>
  <c r="AC66" i="7" s="1"/>
  <c r="U68" i="1"/>
  <c r="I69" i="7" s="1"/>
  <c r="V68" i="1"/>
  <c r="J69" i="7" s="1"/>
  <c r="X68" i="1"/>
  <c r="N69" i="7" s="1"/>
  <c r="Y68" i="1"/>
  <c r="O69" i="7" s="1"/>
  <c r="AA68" i="1"/>
  <c r="R69" i="7" s="1"/>
  <c r="AB68" i="1"/>
  <c r="S69" i="7" s="1"/>
  <c r="V69" i="1"/>
  <c r="J70" i="7" s="1"/>
  <c r="AA69" i="1"/>
  <c r="R70" i="7" s="1"/>
  <c r="V71" i="1"/>
  <c r="J72" i="7" s="1"/>
  <c r="X71" i="1"/>
  <c r="N72" i="7" s="1"/>
  <c r="Y71" i="1"/>
  <c r="O72" i="7" s="1"/>
  <c r="Z72" i="7" s="1"/>
  <c r="Z71" i="1"/>
  <c r="Q72" i="7" s="1"/>
  <c r="AB25" i="3"/>
  <c r="H64" i="7"/>
  <c r="H39" i="7"/>
  <c r="H40" i="7"/>
  <c r="H69" i="7"/>
  <c r="H72" i="7"/>
  <c r="C47" i="3"/>
  <c r="B47" i="3"/>
  <c r="H70" i="7"/>
  <c r="H66" i="7"/>
  <c r="H65" i="7"/>
  <c r="H63" i="7"/>
  <c r="H62" i="7"/>
  <c r="H61" i="7"/>
  <c r="H60" i="7"/>
  <c r="H59" i="7"/>
  <c r="H56" i="7"/>
  <c r="H54" i="7"/>
  <c r="H53" i="7"/>
  <c r="H52" i="7"/>
  <c r="H51" i="7"/>
  <c r="H48" i="7"/>
  <c r="H47" i="7"/>
  <c r="H46" i="7"/>
  <c r="H45" i="7"/>
  <c r="H44" i="7"/>
  <c r="H43" i="7"/>
  <c r="H42" i="7"/>
  <c r="H41" i="7"/>
  <c r="H36" i="7"/>
  <c r="H34" i="7"/>
  <c r="H32" i="7"/>
  <c r="H30" i="7"/>
  <c r="H29" i="7"/>
  <c r="H28" i="7"/>
  <c r="H25" i="7"/>
  <c r="H23" i="7"/>
  <c r="H22" i="7"/>
  <c r="H21" i="7"/>
  <c r="H20" i="7"/>
  <c r="K16" i="7"/>
  <c r="AB66" i="3"/>
  <c r="AB72" i="3"/>
  <c r="AB56" i="3"/>
  <c r="AB57" i="3"/>
  <c r="AB48" i="3"/>
  <c r="AB49" i="3"/>
  <c r="AB36" i="3"/>
  <c r="AB37" i="3"/>
  <c r="AB18" i="3"/>
  <c r="M73" i="1"/>
  <c r="D73" i="1"/>
  <c r="J18" i="7"/>
  <c r="W18" i="7"/>
  <c r="J49" i="7"/>
  <c r="T17" i="7"/>
  <c r="T14" i="7"/>
  <c r="T12" i="7"/>
  <c r="T11" i="7"/>
  <c r="T34" i="7"/>
  <c r="T30" i="7"/>
  <c r="R49" i="7"/>
  <c r="Q37" i="7"/>
  <c r="T28" i="7"/>
  <c r="T36" i="7"/>
  <c r="T29" i="7"/>
  <c r="P17" i="7"/>
  <c r="P15" i="7"/>
  <c r="P14" i="7"/>
  <c r="P12" i="7"/>
  <c r="P34" i="7"/>
  <c r="P32" i="7"/>
  <c r="P30" i="7"/>
  <c r="O49" i="7"/>
  <c r="P43" i="7"/>
  <c r="P41" i="7"/>
  <c r="P28" i="7"/>
  <c r="P29" i="7"/>
  <c r="P33" i="7"/>
  <c r="P36" i="7"/>
  <c r="P70" i="7"/>
  <c r="P39" i="7"/>
  <c r="P42" i="7"/>
  <c r="N37" i="7"/>
  <c r="K15" i="7"/>
  <c r="K12" i="7"/>
  <c r="I37" i="7"/>
  <c r="K28" i="7"/>
  <c r="K34" i="7"/>
  <c r="K32" i="7"/>
  <c r="K30" i="7"/>
  <c r="K41" i="7"/>
  <c r="K14" i="7"/>
  <c r="K11" i="7"/>
  <c r="K33" i="7"/>
  <c r="K31" i="7"/>
  <c r="K29" i="7"/>
  <c r="K42" i="7"/>
  <c r="K40" i="7"/>
  <c r="V73" i="1"/>
  <c r="H67" i="7" l="1"/>
  <c r="N73" i="7"/>
  <c r="K17" i="7"/>
  <c r="N49" i="7"/>
  <c r="H37" i="7"/>
  <c r="H73" i="7"/>
  <c r="H26" i="7"/>
  <c r="H57" i="7"/>
  <c r="U66" i="7"/>
  <c r="U64" i="7"/>
  <c r="U63" i="7"/>
  <c r="U62" i="7"/>
  <c r="U60" i="7"/>
  <c r="U54" i="7"/>
  <c r="U51" i="7"/>
  <c r="U47" i="7"/>
  <c r="U45" i="7"/>
  <c r="U44" i="7"/>
  <c r="U40" i="7"/>
  <c r="U39" i="7"/>
  <c r="U29" i="7"/>
  <c r="U21" i="7"/>
  <c r="F15" i="3"/>
  <c r="F11" i="3"/>
  <c r="U12" i="7"/>
  <c r="F12" i="3"/>
  <c r="U13" i="7"/>
  <c r="F13" i="3"/>
  <c r="U14" i="7"/>
  <c r="F9" i="3"/>
  <c r="F24" i="3"/>
  <c r="U25" i="7"/>
  <c r="F21" i="3"/>
  <c r="U22" i="7"/>
  <c r="U46" i="7"/>
  <c r="U43" i="7"/>
  <c r="F69" i="3"/>
  <c r="U70" i="7"/>
  <c r="U52" i="7"/>
  <c r="U69" i="7"/>
  <c r="U61" i="7"/>
  <c r="U59" i="7"/>
  <c r="U53" i="7"/>
  <c r="U48" i="7"/>
  <c r="U42" i="7"/>
  <c r="U36" i="7"/>
  <c r="U34" i="7"/>
  <c r="U32" i="7"/>
  <c r="U30" i="7"/>
  <c r="U28" i="7"/>
  <c r="F16" i="3"/>
  <c r="U17" i="7"/>
  <c r="F14" i="3"/>
  <c r="U55" i="7"/>
  <c r="F10" i="3"/>
  <c r="U11" i="7"/>
  <c r="U56" i="7"/>
  <c r="F19" i="3"/>
  <c r="U20" i="7"/>
  <c r="V41" i="7"/>
  <c r="U41" i="7"/>
  <c r="V72" i="7"/>
  <c r="U72" i="7"/>
  <c r="K60" i="7"/>
  <c r="J20" i="3"/>
  <c r="P48" i="7"/>
  <c r="K48" i="7"/>
  <c r="K36" i="7"/>
  <c r="H49" i="7"/>
  <c r="AA73" i="3"/>
  <c r="R15" i="7"/>
  <c r="AB15" i="7" s="1"/>
  <c r="Q14" i="3"/>
  <c r="Q49" i="7"/>
  <c r="W49" i="7"/>
  <c r="J16" i="3"/>
  <c r="K64" i="7"/>
  <c r="J19" i="3"/>
  <c r="J12" i="3"/>
  <c r="J13" i="3"/>
  <c r="J14" i="3"/>
  <c r="I57" i="7"/>
  <c r="I49" i="7"/>
  <c r="S10" i="7"/>
  <c r="AC10" i="7" s="1"/>
  <c r="AC18" i="7" s="1"/>
  <c r="AB73" i="1"/>
  <c r="Z73" i="1"/>
  <c r="I18" i="7"/>
  <c r="AA73" i="1"/>
  <c r="O10" i="7"/>
  <c r="Y73" i="1"/>
  <c r="U73" i="1"/>
  <c r="N65" i="7"/>
  <c r="P65" i="7" s="1"/>
  <c r="X73" i="1"/>
  <c r="I67" i="7"/>
  <c r="K45" i="7"/>
  <c r="P47" i="7"/>
  <c r="K47" i="7"/>
  <c r="P44" i="7"/>
  <c r="P46" i="7"/>
  <c r="Y66" i="7"/>
  <c r="P66" i="7"/>
  <c r="K62" i="7"/>
  <c r="AC48" i="7"/>
  <c r="T48" i="7"/>
  <c r="AC46" i="7"/>
  <c r="T46" i="7"/>
  <c r="AC44" i="7"/>
  <c r="T44" i="7"/>
  <c r="AC43" i="7"/>
  <c r="T43" i="7"/>
  <c r="AC39" i="7"/>
  <c r="T39" i="7"/>
  <c r="AC47" i="7"/>
  <c r="T47" i="7"/>
  <c r="AC45" i="7"/>
  <c r="T45" i="7"/>
  <c r="AC41" i="7"/>
  <c r="T41" i="7"/>
  <c r="AC40" i="7"/>
  <c r="T40" i="7"/>
  <c r="Q22" i="3"/>
  <c r="R10" i="7"/>
  <c r="P11" i="7"/>
  <c r="S33" i="7"/>
  <c r="U33" i="7" s="1"/>
  <c r="O31" i="7"/>
  <c r="Z31" i="7" s="1"/>
  <c r="Z37" i="7" s="1"/>
  <c r="I23" i="7"/>
  <c r="N16" i="7"/>
  <c r="U16" i="7" s="1"/>
  <c r="Q10" i="7"/>
  <c r="T10" i="7" s="1"/>
  <c r="K37" i="7"/>
  <c r="AC42" i="7"/>
  <c r="AC49" i="7" s="1"/>
  <c r="T42" i="7"/>
  <c r="S49" i="7"/>
  <c r="F42" i="3"/>
  <c r="K43" i="7"/>
  <c r="AC15" i="7"/>
  <c r="S18" i="7"/>
  <c r="AC32" i="7"/>
  <c r="J65" i="3"/>
  <c r="Y17" i="7"/>
  <c r="V17" i="7"/>
  <c r="Y15" i="7"/>
  <c r="J69" i="3"/>
  <c r="Y70" i="7"/>
  <c r="V70" i="7"/>
  <c r="Q71" i="3"/>
  <c r="AA72" i="7"/>
  <c r="T72" i="7"/>
  <c r="J71" i="3"/>
  <c r="Y72" i="7"/>
  <c r="P72" i="7"/>
  <c r="T70" i="7"/>
  <c r="Q69" i="3"/>
  <c r="AB70" i="7"/>
  <c r="AC69" i="7"/>
  <c r="AC73" i="7" s="1"/>
  <c r="S73" i="7"/>
  <c r="Z69" i="7"/>
  <c r="Z73" i="7" s="1"/>
  <c r="O73" i="7"/>
  <c r="W69" i="7"/>
  <c r="J73" i="7"/>
  <c r="W72" i="7"/>
  <c r="K72" i="7"/>
  <c r="W70" i="7"/>
  <c r="K70" i="7"/>
  <c r="R73" i="7"/>
  <c r="AB69" i="7"/>
  <c r="AB73" i="7" s="1"/>
  <c r="J68" i="3"/>
  <c r="Y69" i="7"/>
  <c r="Y73" i="7" s="1"/>
  <c r="P69" i="7"/>
  <c r="P73" i="7" s="1"/>
  <c r="V69" i="7"/>
  <c r="U73" i="7"/>
  <c r="I73" i="7"/>
  <c r="F68" i="3"/>
  <c r="K69" i="7"/>
  <c r="Q68" i="3"/>
  <c r="Q73" i="7"/>
  <c r="AA69" i="7"/>
  <c r="AA73" i="7" s="1"/>
  <c r="T69" i="7"/>
  <c r="F71" i="3"/>
  <c r="F40" i="3"/>
  <c r="Q65" i="3"/>
  <c r="T66" i="7"/>
  <c r="K66" i="7"/>
  <c r="F65" i="3"/>
  <c r="V66" i="7"/>
  <c r="AD66" i="7" s="1"/>
  <c r="T64" i="7"/>
  <c r="Q63" i="3"/>
  <c r="AA64" i="7"/>
  <c r="J63" i="3"/>
  <c r="Y64" i="7"/>
  <c r="P64" i="7"/>
  <c r="F63" i="3"/>
  <c r="V64" i="7"/>
  <c r="Q62" i="3"/>
  <c r="AA63" i="7"/>
  <c r="T63" i="7"/>
  <c r="J62" i="3"/>
  <c r="Y63" i="7"/>
  <c r="P63" i="7"/>
  <c r="F62" i="3"/>
  <c r="V63" i="7"/>
  <c r="K63" i="7"/>
  <c r="P62" i="7"/>
  <c r="J61" i="3"/>
  <c r="Y62" i="7"/>
  <c r="F61" i="3"/>
  <c r="V62" i="7"/>
  <c r="Q59" i="3"/>
  <c r="T60" i="7"/>
  <c r="AA60" i="7"/>
  <c r="J59" i="3"/>
  <c r="Y60" i="7"/>
  <c r="P60" i="7"/>
  <c r="F59" i="3"/>
  <c r="V60" i="7"/>
  <c r="AB59" i="7"/>
  <c r="AB67" i="7" s="1"/>
  <c r="R67" i="7"/>
  <c r="Z59" i="7"/>
  <c r="Z67" i="7" s="1"/>
  <c r="O67" i="7"/>
  <c r="J67" i="7"/>
  <c r="W59" i="7"/>
  <c r="W67" i="7" s="1"/>
  <c r="Q61" i="3"/>
  <c r="AA62" i="7"/>
  <c r="T62" i="7"/>
  <c r="Q64" i="3"/>
  <c r="T65" i="7"/>
  <c r="AA65" i="7"/>
  <c r="J64" i="3"/>
  <c r="Y65" i="7"/>
  <c r="F64" i="3"/>
  <c r="V65" i="7"/>
  <c r="AD65" i="7" s="1"/>
  <c r="K65" i="7"/>
  <c r="T61" i="7"/>
  <c r="Q60" i="3"/>
  <c r="AA61" i="7"/>
  <c r="J60" i="3"/>
  <c r="P61" i="7"/>
  <c r="Y61" i="7"/>
  <c r="F60" i="3"/>
  <c r="V61" i="7"/>
  <c r="K61" i="7"/>
  <c r="AC59" i="7"/>
  <c r="AC67" i="7" s="1"/>
  <c r="S67" i="7"/>
  <c r="T59" i="7"/>
  <c r="Q58" i="3"/>
  <c r="AA59" i="7"/>
  <c r="AA67" i="7" s="1"/>
  <c r="Q67" i="7"/>
  <c r="J58" i="3"/>
  <c r="P59" i="7"/>
  <c r="Y59" i="7"/>
  <c r="F58" i="3"/>
  <c r="V59" i="7"/>
  <c r="AD59" i="7" s="1"/>
  <c r="K59" i="7"/>
  <c r="Q52" i="3"/>
  <c r="AA53" i="7"/>
  <c r="T53" i="7"/>
  <c r="J52" i="3"/>
  <c r="Y53" i="7"/>
  <c r="P53" i="7"/>
  <c r="F52" i="3"/>
  <c r="K53" i="7"/>
  <c r="V53" i="7"/>
  <c r="AB51" i="7"/>
  <c r="R57" i="7"/>
  <c r="Z51" i="7"/>
  <c r="Z57" i="7" s="1"/>
  <c r="O57" i="7"/>
  <c r="W51" i="7"/>
  <c r="W57" i="7" s="1"/>
  <c r="J57" i="7"/>
  <c r="Q54" i="3"/>
  <c r="AA55" i="7"/>
  <c r="T55" i="7"/>
  <c r="J54" i="3"/>
  <c r="P55" i="7"/>
  <c r="Y55" i="7"/>
  <c r="Q51" i="3"/>
  <c r="F51" i="3"/>
  <c r="V52" i="7"/>
  <c r="K52" i="7"/>
  <c r="P56" i="7"/>
  <c r="J55" i="3"/>
  <c r="Y56" i="7"/>
  <c r="Q53" i="3"/>
  <c r="AA54" i="7"/>
  <c r="T54" i="7"/>
  <c r="J53" i="3"/>
  <c r="Y54" i="7"/>
  <c r="P54" i="7"/>
  <c r="F53" i="3"/>
  <c r="V54" i="7"/>
  <c r="K54" i="7"/>
  <c r="AB52" i="7"/>
  <c r="T52" i="7"/>
  <c r="P52" i="7"/>
  <c r="J51" i="3"/>
  <c r="Y52" i="7"/>
  <c r="AC51" i="7"/>
  <c r="AC57" i="7" s="1"/>
  <c r="S57" i="7"/>
  <c r="AA51" i="7"/>
  <c r="Q57" i="7"/>
  <c r="Q50" i="3"/>
  <c r="T51" i="7"/>
  <c r="J50" i="3"/>
  <c r="Y51" i="7"/>
  <c r="P51" i="7"/>
  <c r="N57" i="7"/>
  <c r="F50" i="3"/>
  <c r="V51" i="7"/>
  <c r="K51" i="7"/>
  <c r="F54" i="3"/>
  <c r="V55" i="7"/>
  <c r="AD55" i="7" s="1"/>
  <c r="K55" i="7"/>
  <c r="Q55" i="3"/>
  <c r="T56" i="7"/>
  <c r="AA56" i="7"/>
  <c r="K56" i="7"/>
  <c r="F55" i="3"/>
  <c r="V56" i="7"/>
  <c r="AA52" i="7"/>
  <c r="F45" i="3"/>
  <c r="K46" i="7"/>
  <c r="K49" i="7" s="1"/>
  <c r="P49" i="7"/>
  <c r="J45" i="3"/>
  <c r="Y46" i="7"/>
  <c r="Q42" i="3"/>
  <c r="AA43" i="7"/>
  <c r="J42" i="3"/>
  <c r="Y43" i="7"/>
  <c r="Q41" i="3"/>
  <c r="AA42" i="7"/>
  <c r="J41" i="3"/>
  <c r="Y42" i="7"/>
  <c r="F41" i="3"/>
  <c r="V42" i="7"/>
  <c r="AB41" i="7"/>
  <c r="Q40" i="3"/>
  <c r="Q45" i="3"/>
  <c r="AA46" i="7"/>
  <c r="AA39" i="7"/>
  <c r="Q38" i="3"/>
  <c r="Q47" i="3"/>
  <c r="AA48" i="7"/>
  <c r="J47" i="3"/>
  <c r="Y48" i="7"/>
  <c r="F47" i="3"/>
  <c r="V48" i="7"/>
  <c r="AA47" i="7"/>
  <c r="Q46" i="3"/>
  <c r="Y47" i="7"/>
  <c r="J46" i="3"/>
  <c r="V47" i="7"/>
  <c r="F46" i="3"/>
  <c r="AA45" i="7"/>
  <c r="Q44" i="3"/>
  <c r="Y45" i="7"/>
  <c r="J44" i="3"/>
  <c r="V45" i="7"/>
  <c r="F44" i="3"/>
  <c r="J43" i="3"/>
  <c r="Y44" i="7"/>
  <c r="F43" i="3"/>
  <c r="V44" i="7"/>
  <c r="Z41" i="7"/>
  <c r="Z49" i="7" s="1"/>
  <c r="J40" i="3"/>
  <c r="Q39" i="3"/>
  <c r="AA40" i="7"/>
  <c r="J39" i="3"/>
  <c r="Y40" i="7"/>
  <c r="F39" i="3"/>
  <c r="V40" i="7"/>
  <c r="AB49" i="7"/>
  <c r="J38" i="3"/>
  <c r="Y39" i="7"/>
  <c r="F38" i="3"/>
  <c r="V39" i="7"/>
  <c r="AD39" i="7" s="1"/>
  <c r="Q43" i="3"/>
  <c r="AA44" i="7"/>
  <c r="V46" i="7"/>
  <c r="AD46" i="7" s="1"/>
  <c r="V43" i="7"/>
  <c r="AC31" i="7"/>
  <c r="T31" i="7"/>
  <c r="AA33" i="7"/>
  <c r="J32" i="3"/>
  <c r="Y33" i="7"/>
  <c r="F32" i="3"/>
  <c r="V33" i="7"/>
  <c r="F30" i="3"/>
  <c r="V31" i="7"/>
  <c r="Q28" i="3"/>
  <c r="AA29" i="7"/>
  <c r="J28" i="3"/>
  <c r="Y29" i="7"/>
  <c r="F28" i="3"/>
  <c r="V29" i="7"/>
  <c r="AB28" i="7"/>
  <c r="AB37" i="7" s="1"/>
  <c r="R37" i="7"/>
  <c r="W28" i="7"/>
  <c r="W37" i="7" s="1"/>
  <c r="J37" i="7"/>
  <c r="AA34" i="7"/>
  <c r="Q33" i="3"/>
  <c r="Q30" i="3"/>
  <c r="AA31" i="7"/>
  <c r="Q35" i="3"/>
  <c r="AA36" i="7"/>
  <c r="J35" i="3"/>
  <c r="Y36" i="7"/>
  <c r="F35" i="3"/>
  <c r="V36" i="7"/>
  <c r="J33" i="3"/>
  <c r="Y34" i="7"/>
  <c r="F33" i="3"/>
  <c r="V34" i="7"/>
  <c r="J31" i="3"/>
  <c r="Y32" i="7"/>
  <c r="F31" i="3"/>
  <c r="V32" i="7"/>
  <c r="Q29" i="3"/>
  <c r="AA30" i="7"/>
  <c r="J29" i="3"/>
  <c r="Y30" i="7"/>
  <c r="F29" i="3"/>
  <c r="V30" i="7"/>
  <c r="AD30" i="7" s="1"/>
  <c r="AC28" i="7"/>
  <c r="S37" i="7"/>
  <c r="Q27" i="3"/>
  <c r="AA28" i="7"/>
  <c r="J27" i="3"/>
  <c r="Y28" i="7"/>
  <c r="F27" i="3"/>
  <c r="V28" i="7"/>
  <c r="AA32" i="7"/>
  <c r="T32" i="7"/>
  <c r="J30" i="3"/>
  <c r="Y31" i="7"/>
  <c r="T20" i="7"/>
  <c r="Q19" i="3"/>
  <c r="AA20" i="7"/>
  <c r="P20" i="7"/>
  <c r="Y20" i="7"/>
  <c r="K20" i="7"/>
  <c r="V20" i="7"/>
  <c r="Z25" i="7"/>
  <c r="P25" i="7"/>
  <c r="AA23" i="7"/>
  <c r="T23" i="7"/>
  <c r="Y23" i="7"/>
  <c r="J22" i="3"/>
  <c r="P23" i="7"/>
  <c r="V23" i="7"/>
  <c r="K23" i="7"/>
  <c r="AB21" i="7"/>
  <c r="AB26" i="7" s="1"/>
  <c r="R26" i="7"/>
  <c r="Z21" i="7"/>
  <c r="Z26" i="7" s="1"/>
  <c r="O26" i="7"/>
  <c r="W21" i="7"/>
  <c r="W26" i="7" s="1"/>
  <c r="J26" i="7"/>
  <c r="J75" i="7" s="1"/>
  <c r="J24" i="3"/>
  <c r="V25" i="7"/>
  <c r="K25" i="7"/>
  <c r="AB22" i="7"/>
  <c r="T22" i="7"/>
  <c r="P22" i="7"/>
  <c r="J21" i="3"/>
  <c r="Y22" i="7"/>
  <c r="AC21" i="7"/>
  <c r="AC26" i="7" s="1"/>
  <c r="S26" i="7"/>
  <c r="Q20" i="3"/>
  <c r="AA21" i="7"/>
  <c r="Q26" i="7"/>
  <c r="T21" i="7"/>
  <c r="Y21" i="7"/>
  <c r="P21" i="7"/>
  <c r="N26" i="7"/>
  <c r="V21" i="7"/>
  <c r="K21" i="7"/>
  <c r="Q24" i="3"/>
  <c r="T25" i="7"/>
  <c r="AA25" i="7"/>
  <c r="V22" i="7"/>
  <c r="K22" i="7"/>
  <c r="Q21" i="3"/>
  <c r="Y25" i="7"/>
  <c r="AA16" i="7"/>
  <c r="T16" i="7"/>
  <c r="Q18" i="7"/>
  <c r="J9" i="3"/>
  <c r="Y10" i="7"/>
  <c r="V16" i="7"/>
  <c r="AA15" i="7"/>
  <c r="V15" i="7"/>
  <c r="AA12" i="7"/>
  <c r="Q11" i="3"/>
  <c r="Q10" i="3"/>
  <c r="AA11" i="7"/>
  <c r="Y11" i="7"/>
  <c r="J10" i="3"/>
  <c r="Q12" i="3"/>
  <c r="AA13" i="7"/>
  <c r="T13" i="7"/>
  <c r="V13" i="7"/>
  <c r="K13" i="7"/>
  <c r="V11" i="7"/>
  <c r="AA10" i="7"/>
  <c r="Y14" i="7"/>
  <c r="Q16" i="3"/>
  <c r="AA17" i="7"/>
  <c r="Q13" i="3"/>
  <c r="AA14" i="7"/>
  <c r="V12" i="7"/>
  <c r="Y13" i="7"/>
  <c r="P13" i="7"/>
  <c r="V14" i="7"/>
  <c r="V10" i="7"/>
  <c r="K10" i="7"/>
  <c r="J11" i="3"/>
  <c r="Y12" i="7"/>
  <c r="Q15" i="3"/>
  <c r="AA26" i="7" l="1"/>
  <c r="AA57" i="7"/>
  <c r="H75" i="7"/>
  <c r="AA18" i="7"/>
  <c r="AA37" i="7"/>
  <c r="AB57" i="7"/>
  <c r="AD14" i="7"/>
  <c r="T15" i="7"/>
  <c r="Y16" i="7"/>
  <c r="AD20" i="7"/>
  <c r="AD22" i="7"/>
  <c r="AD23" i="7"/>
  <c r="AD28" i="7"/>
  <c r="AD51" i="7"/>
  <c r="AD63" i="7"/>
  <c r="AD29" i="7"/>
  <c r="D28" i="3" s="1"/>
  <c r="AB28" i="3" s="1"/>
  <c r="AD31" i="7"/>
  <c r="AD43" i="7"/>
  <c r="AD45" i="7"/>
  <c r="D44" i="3" s="1"/>
  <c r="AB44" i="3" s="1"/>
  <c r="AD47" i="7"/>
  <c r="D46" i="3" s="1"/>
  <c r="AB46" i="3" s="1"/>
  <c r="AD69" i="7"/>
  <c r="AD70" i="7"/>
  <c r="AD17" i="7"/>
  <c r="U10" i="7"/>
  <c r="D16" i="3"/>
  <c r="AB16" i="3" s="1"/>
  <c r="AD12" i="7"/>
  <c r="AD11" i="7"/>
  <c r="AD13" i="7"/>
  <c r="AD15" i="7"/>
  <c r="AD16" i="7"/>
  <c r="AD21" i="7"/>
  <c r="AD25" i="7"/>
  <c r="AD40" i="7"/>
  <c r="AD44" i="7"/>
  <c r="AD48" i="7"/>
  <c r="D47" i="3" s="1"/>
  <c r="AB47" i="3" s="1"/>
  <c r="AD42" i="7"/>
  <c r="D41" i="3" s="1"/>
  <c r="AB41" i="3" s="1"/>
  <c r="AD56" i="7"/>
  <c r="AD72" i="7"/>
  <c r="AD41" i="7"/>
  <c r="AD64" i="7"/>
  <c r="D63" i="3" s="1"/>
  <c r="AB63" i="3" s="1"/>
  <c r="AD62" i="7"/>
  <c r="AD61" i="7"/>
  <c r="AD60" i="7"/>
  <c r="AD67" i="7" s="1"/>
  <c r="AD54" i="7"/>
  <c r="AD53" i="7"/>
  <c r="AD52" i="7"/>
  <c r="AD36" i="7"/>
  <c r="D35" i="3" s="1"/>
  <c r="AB35" i="3" s="1"/>
  <c r="S75" i="7"/>
  <c r="AD34" i="7"/>
  <c r="AD32" i="7"/>
  <c r="U15" i="7"/>
  <c r="U18" i="7" s="1"/>
  <c r="U65" i="7"/>
  <c r="U31" i="7"/>
  <c r="F22" i="3"/>
  <c r="U23" i="7"/>
  <c r="U26" i="7" s="1"/>
  <c r="D29" i="3"/>
  <c r="AB29" i="3" s="1"/>
  <c r="K18" i="7"/>
  <c r="U67" i="7"/>
  <c r="Y67" i="7"/>
  <c r="U57" i="7"/>
  <c r="U49" i="7"/>
  <c r="N67" i="7"/>
  <c r="Q9" i="3"/>
  <c r="Q73" i="3" s="1"/>
  <c r="D14" i="3"/>
  <c r="AB14" i="3" s="1"/>
  <c r="P16" i="7"/>
  <c r="J15" i="3"/>
  <c r="I26" i="7"/>
  <c r="I75" i="7" s="1"/>
  <c r="Z10" i="7"/>
  <c r="Z18" i="7" s="1"/>
  <c r="O18" i="7"/>
  <c r="P10" i="7"/>
  <c r="T73" i="7"/>
  <c r="O37" i="7"/>
  <c r="D71" i="3"/>
  <c r="AB71" i="3" s="1"/>
  <c r="P31" i="7"/>
  <c r="P37" i="7" s="1"/>
  <c r="T18" i="7"/>
  <c r="K67" i="7"/>
  <c r="D60" i="3"/>
  <c r="AB60" i="3" s="1"/>
  <c r="D62" i="3"/>
  <c r="AB62" i="3" s="1"/>
  <c r="D54" i="3"/>
  <c r="AB54" i="3" s="1"/>
  <c r="T49" i="7"/>
  <c r="K73" i="7"/>
  <c r="Y49" i="7"/>
  <c r="AB10" i="7"/>
  <c r="AB18" i="7" s="1"/>
  <c r="R18" i="7"/>
  <c r="R75" i="7" s="1"/>
  <c r="AC33" i="7"/>
  <c r="AC37" i="7" s="1"/>
  <c r="T33" i="7"/>
  <c r="T37" i="7" s="1"/>
  <c r="U37" i="7"/>
  <c r="N18" i="7"/>
  <c r="N75" i="7" s="1"/>
  <c r="T67" i="7"/>
  <c r="D45" i="3"/>
  <c r="AB45" i="3" s="1"/>
  <c r="F73" i="3"/>
  <c r="D10" i="3"/>
  <c r="AB10" i="3" s="1"/>
  <c r="D21" i="3"/>
  <c r="AB21" i="3" s="1"/>
  <c r="D13" i="3"/>
  <c r="AB13" i="3" s="1"/>
  <c r="P26" i="7"/>
  <c r="D22" i="3"/>
  <c r="AB22" i="3" s="1"/>
  <c r="D19" i="3"/>
  <c r="AB19" i="3" s="1"/>
  <c r="D33" i="3"/>
  <c r="AB33" i="3" s="1"/>
  <c r="Y57" i="7"/>
  <c r="D53" i="3"/>
  <c r="AB53" i="3" s="1"/>
  <c r="D52" i="3"/>
  <c r="AB52" i="3" s="1"/>
  <c r="D65" i="3"/>
  <c r="AB65" i="3" s="1"/>
  <c r="D69" i="3"/>
  <c r="AB69" i="3" s="1"/>
  <c r="V73" i="7"/>
  <c r="W73" i="7"/>
  <c r="W75" i="7" s="1"/>
  <c r="D59" i="3"/>
  <c r="AB59" i="3" s="1"/>
  <c r="P67" i="7"/>
  <c r="V67" i="7"/>
  <c r="D61" i="3"/>
  <c r="AB61" i="3" s="1"/>
  <c r="D55" i="3"/>
  <c r="AB55" i="3" s="1"/>
  <c r="K57" i="7"/>
  <c r="P57" i="7"/>
  <c r="D51" i="3"/>
  <c r="AB51" i="3" s="1"/>
  <c r="V57" i="7"/>
  <c r="T57" i="7"/>
  <c r="V49" i="7"/>
  <c r="AA49" i="7"/>
  <c r="D43" i="3"/>
  <c r="AB43" i="3" s="1"/>
  <c r="D40" i="3"/>
  <c r="AB40" i="3" s="1"/>
  <c r="D30" i="3"/>
  <c r="AB30" i="3" s="1"/>
  <c r="V37" i="7"/>
  <c r="Y37" i="7"/>
  <c r="D31" i="3"/>
  <c r="AB31" i="3" s="1"/>
  <c r="K26" i="7"/>
  <c r="Q75" i="7"/>
  <c r="V26" i="7"/>
  <c r="Y26" i="7"/>
  <c r="T26" i="7"/>
  <c r="D24" i="3"/>
  <c r="AB24" i="3" s="1"/>
  <c r="D11" i="3"/>
  <c r="AB11" i="3" s="1"/>
  <c r="D12" i="3"/>
  <c r="AB12" i="3" s="1"/>
  <c r="D15" i="3"/>
  <c r="AB15" i="3" s="1"/>
  <c r="Y18" i="7"/>
  <c r="V18" i="7"/>
  <c r="J73" i="3"/>
  <c r="K75" i="7" l="1"/>
  <c r="AD73" i="7"/>
  <c r="AD57" i="7"/>
  <c r="AD26" i="7"/>
  <c r="D42" i="3"/>
  <c r="AB42" i="3" s="1"/>
  <c r="AD49" i="7"/>
  <c r="Z75" i="7"/>
  <c r="AB75" i="7"/>
  <c r="D39" i="3"/>
  <c r="AB39" i="3" s="1"/>
  <c r="AD10" i="7"/>
  <c r="AD18" i="7" s="1"/>
  <c r="AD33" i="7"/>
  <c r="D32" i="3" s="1"/>
  <c r="AB32" i="3" s="1"/>
  <c r="U75" i="7"/>
  <c r="O75" i="7"/>
  <c r="P18" i="7"/>
  <c r="P75" i="7" s="1"/>
  <c r="Y75" i="7"/>
  <c r="AA75" i="7"/>
  <c r="D64" i="3"/>
  <c r="AC75" i="7"/>
  <c r="T75" i="7"/>
  <c r="V75" i="7"/>
  <c r="D68" i="3"/>
  <c r="AB68" i="3" s="1"/>
  <c r="D58" i="3"/>
  <c r="AB58" i="3" s="1"/>
  <c r="D50" i="3"/>
  <c r="AB50" i="3" s="1"/>
  <c r="D38" i="3"/>
  <c r="AB38" i="3" s="1"/>
  <c r="D27" i="3"/>
  <c r="AB27" i="3" s="1"/>
  <c r="D20" i="3"/>
  <c r="AB20" i="3" s="1"/>
  <c r="D9" i="3"/>
  <c r="AD37" i="7" l="1"/>
  <c r="AD75" i="7"/>
  <c r="AB64" i="3"/>
  <c r="D73" i="3"/>
  <c r="AB73" i="3" s="1"/>
  <c r="AB9" i="3"/>
</calcChain>
</file>

<file path=xl/sharedStrings.xml><?xml version="1.0" encoding="utf-8"?>
<sst xmlns="http://schemas.openxmlformats.org/spreadsheetml/2006/main" count="604" uniqueCount="325">
  <si>
    <t>Area</t>
  </si>
  <si>
    <t>PETTAH</t>
  </si>
  <si>
    <t>MR.I.P.SRIYANANDA</t>
  </si>
  <si>
    <t>DEHIWALA</t>
  </si>
  <si>
    <t>KADUWELA</t>
  </si>
  <si>
    <t>NEGOMBO</t>
  </si>
  <si>
    <t>OSHADA DISTRIBUTORS</t>
  </si>
  <si>
    <t>GAMPAHA</t>
  </si>
  <si>
    <t>WARAKAPOLA</t>
  </si>
  <si>
    <t>Western</t>
  </si>
  <si>
    <t>KURUNEGALA</t>
  </si>
  <si>
    <t>DAMBULLA</t>
  </si>
  <si>
    <t>L.R.N.J. BANDARA</t>
  </si>
  <si>
    <t>A'PURA</t>
  </si>
  <si>
    <t>MAEDAWACHCHIYA</t>
  </si>
  <si>
    <t>BANDARAWELA</t>
  </si>
  <si>
    <t>BADULLA</t>
  </si>
  <si>
    <t>HATTON</t>
  </si>
  <si>
    <t>PELMADULLA</t>
  </si>
  <si>
    <t>RUWANWELLA</t>
  </si>
  <si>
    <t>RATHNAPURA</t>
  </si>
  <si>
    <t>AWISSAWELLA</t>
  </si>
  <si>
    <t xml:space="preserve">NUWARAELIYA </t>
  </si>
  <si>
    <t>ALUTHGAMA</t>
  </si>
  <si>
    <t>M.S.M. SHIYAM</t>
  </si>
  <si>
    <t>GALLE</t>
  </si>
  <si>
    <t>RUBY DISTRIBUTORS</t>
  </si>
  <si>
    <t>MATHUGAMA</t>
  </si>
  <si>
    <t>AMBALANGODA</t>
  </si>
  <si>
    <t>W.D.P MENDIS</t>
  </si>
  <si>
    <t>MATHARA</t>
  </si>
  <si>
    <t>D.U.N RAJAPAKSHA</t>
  </si>
  <si>
    <t>EMBILIPITIYA</t>
  </si>
  <si>
    <t>AKURESSA</t>
  </si>
  <si>
    <t>K.G.U. CHULAMANI</t>
  </si>
  <si>
    <t xml:space="preserve">MONARAGALA 2 </t>
  </si>
  <si>
    <t>HASANTHA DISTRIBUTORS</t>
  </si>
  <si>
    <t>GAMPOLA</t>
  </si>
  <si>
    <t>W.K.PREMALAL</t>
  </si>
  <si>
    <t>KATUGASTOTA</t>
  </si>
  <si>
    <t>MEDHAMAHA NUWARA</t>
  </si>
  <si>
    <t>MRS.KUMARIHAMY</t>
  </si>
  <si>
    <t>KEGALLE</t>
  </si>
  <si>
    <t>MATHALE</t>
  </si>
  <si>
    <t>Central</t>
  </si>
  <si>
    <t>SAJATH DISTRIBUTORS</t>
  </si>
  <si>
    <t>POLONNARUWA</t>
  </si>
  <si>
    <t>SAMPATH KUMARA</t>
  </si>
  <si>
    <t>BATTICALOA</t>
  </si>
  <si>
    <t>CHENKALADY</t>
  </si>
  <si>
    <t>VASANTH TRADERS</t>
  </si>
  <si>
    <t>ODDAMAVADY</t>
  </si>
  <si>
    <t>AMPARA</t>
  </si>
  <si>
    <t>AKKAREPATHTHU</t>
  </si>
  <si>
    <t>Grand Total</t>
  </si>
  <si>
    <t>JAFFNA 02</t>
  </si>
  <si>
    <t>Territory</t>
  </si>
  <si>
    <t>2 l</t>
  </si>
  <si>
    <t>330ML</t>
  </si>
  <si>
    <t>500ML</t>
  </si>
  <si>
    <t>2 L</t>
  </si>
  <si>
    <t>Others</t>
  </si>
  <si>
    <t>Soda</t>
  </si>
  <si>
    <t>Ginger</t>
  </si>
  <si>
    <t>Qualified Qty</t>
  </si>
  <si>
    <t>Actual Qty</t>
  </si>
  <si>
    <t>Region</t>
  </si>
  <si>
    <t>Distributor Name</t>
  </si>
  <si>
    <t>RD Sales (Case)</t>
  </si>
  <si>
    <t>Total Case</t>
  </si>
  <si>
    <t>2L</t>
  </si>
  <si>
    <t>Bottles</t>
  </si>
  <si>
    <t>C/S</t>
  </si>
  <si>
    <t xml:space="preserve">Free   Issue </t>
  </si>
  <si>
    <t>Total F/I Bottles</t>
  </si>
  <si>
    <t>Replacement Value Rs.</t>
  </si>
  <si>
    <t>Total Replacement Value Rs.</t>
  </si>
  <si>
    <t>South</t>
  </si>
  <si>
    <t>Estern</t>
  </si>
  <si>
    <t>North</t>
  </si>
  <si>
    <t>Total</t>
  </si>
  <si>
    <t>GRAND TOTAL</t>
  </si>
  <si>
    <t>Aluthgama</t>
  </si>
  <si>
    <t>Ampara</t>
  </si>
  <si>
    <t>Batticaloa</t>
  </si>
  <si>
    <t>Chenkaladi</t>
  </si>
  <si>
    <t>Trinco</t>
  </si>
  <si>
    <t xml:space="preserve">          Prepared  by</t>
  </si>
  <si>
    <t xml:space="preserve">         Checked by</t>
  </si>
  <si>
    <t xml:space="preserve">        Authorized  by</t>
  </si>
  <si>
    <t>Replacement Value</t>
  </si>
  <si>
    <t>Distributor name</t>
  </si>
  <si>
    <t>2Lts  Total</t>
  </si>
  <si>
    <t>Orange</t>
  </si>
  <si>
    <t>Cream</t>
  </si>
  <si>
    <t>Cola</t>
  </si>
  <si>
    <t>Lemon</t>
  </si>
  <si>
    <t>330ml Total</t>
  </si>
  <si>
    <t>Berry</t>
  </si>
  <si>
    <t>Apple</t>
  </si>
  <si>
    <t xml:space="preserve">      </t>
  </si>
  <si>
    <t>…………………………</t>
  </si>
  <si>
    <t>………………………..</t>
  </si>
  <si>
    <t>……………………………</t>
  </si>
  <si>
    <t>Name of Distributor</t>
  </si>
  <si>
    <t>Life</t>
  </si>
  <si>
    <t>Water</t>
  </si>
  <si>
    <t>Requisition</t>
  </si>
  <si>
    <t>Qulified according to the invoices</t>
  </si>
  <si>
    <t>Actual figures</t>
  </si>
  <si>
    <t>1lt</t>
  </si>
  <si>
    <t>1.5lt</t>
  </si>
  <si>
    <t>5lt</t>
  </si>
  <si>
    <t xml:space="preserve">Chenkaladi  </t>
  </si>
  <si>
    <t>Oddamawadi</t>
  </si>
  <si>
    <t>Muttur</t>
  </si>
  <si>
    <t>Tissa</t>
  </si>
  <si>
    <t>Kurunegala</t>
  </si>
  <si>
    <t>RD</t>
  </si>
  <si>
    <t>Life Value</t>
  </si>
  <si>
    <t>Cristal Value</t>
  </si>
  <si>
    <t>Total Replacement Value</t>
  </si>
  <si>
    <t>Cristal</t>
  </si>
  <si>
    <t>500ml</t>
  </si>
  <si>
    <t>Batticalo</t>
  </si>
  <si>
    <t>P.Prathanjani</t>
  </si>
  <si>
    <t>Rs.25.75</t>
  </si>
  <si>
    <t>Rs.34.00</t>
  </si>
  <si>
    <t>Rs.19.00</t>
  </si>
  <si>
    <t>Rs.99.00</t>
  </si>
  <si>
    <t>Eastern price</t>
  </si>
  <si>
    <t>Rs.26.10</t>
  </si>
  <si>
    <t>Rs.32.00</t>
  </si>
  <si>
    <t>Rs.39.35</t>
  </si>
  <si>
    <t>North price</t>
  </si>
  <si>
    <t>Tissa-2Free  for  1cs-500ml</t>
  </si>
  <si>
    <t>Rs.24.30</t>
  </si>
  <si>
    <t>Rs.18.00</t>
  </si>
  <si>
    <t>RS.92.29</t>
  </si>
  <si>
    <t>South price</t>
  </si>
  <si>
    <t>1Free  for  1cs 1lt</t>
  </si>
  <si>
    <t>Rs.23.68</t>
  </si>
  <si>
    <t>Rs.31.35</t>
  </si>
  <si>
    <t>Rs.17.50</t>
  </si>
  <si>
    <t>North Western</t>
  </si>
  <si>
    <t>1free  for  1cs 1.5lt</t>
  </si>
  <si>
    <t>1free for  for  4cs  5l</t>
  </si>
  <si>
    <t>Others 01 bottle  for every 1c/s (for 1lt &amp;1.5lt)</t>
  </si>
  <si>
    <t>Prepared by</t>
  </si>
  <si>
    <t>Checked  by</t>
  </si>
  <si>
    <t>1lts</t>
  </si>
  <si>
    <t>5lts</t>
  </si>
  <si>
    <t>1.5lts</t>
  </si>
  <si>
    <t xml:space="preserve">500ml </t>
  </si>
  <si>
    <t>…………………….</t>
  </si>
  <si>
    <t>500ml Total</t>
  </si>
  <si>
    <t>WATTALA</t>
  </si>
  <si>
    <t>Jaffna 01</t>
  </si>
  <si>
    <t>Jaffna 02</t>
  </si>
  <si>
    <t>MAHO</t>
  </si>
  <si>
    <t>MONARAGALA 01</t>
  </si>
  <si>
    <t>MONARAGALA 02</t>
  </si>
  <si>
    <t>JAFFNA 01</t>
  </si>
  <si>
    <t xml:space="preserve">PETTAH </t>
  </si>
  <si>
    <t>MATALE</t>
  </si>
  <si>
    <r>
      <rPr>
        <sz val="9"/>
        <color theme="1"/>
        <rFont val="Verdana"/>
        <family val="2"/>
      </rPr>
      <t>SAJI DISTRIBUTORS</t>
    </r>
    <r>
      <rPr>
        <sz val="8"/>
        <color theme="1"/>
        <rFont val="Arial Narrow"/>
        <family val="2"/>
      </rPr>
      <t/>
    </r>
  </si>
  <si>
    <t>MONARAGALA 1</t>
  </si>
  <si>
    <t>MUTTUR</t>
  </si>
  <si>
    <t>AKKAREPATTHU</t>
  </si>
  <si>
    <t>M/MAHA NUWARA</t>
  </si>
  <si>
    <t>AKKAREPATTU</t>
  </si>
  <si>
    <t>Authorized  by</t>
  </si>
  <si>
    <t>Akkaripathtu</t>
  </si>
  <si>
    <t>Akuressa</t>
  </si>
  <si>
    <t>Ambalangoda</t>
  </si>
  <si>
    <t>A'wella</t>
  </si>
  <si>
    <t>Badulla</t>
  </si>
  <si>
    <t>Bandarawela</t>
  </si>
  <si>
    <t>Dambulla</t>
  </si>
  <si>
    <t>Dehiwala</t>
  </si>
  <si>
    <t>Embilipitiya</t>
  </si>
  <si>
    <t>Galle</t>
  </si>
  <si>
    <t>Gampaha</t>
  </si>
  <si>
    <t>Gampola</t>
  </si>
  <si>
    <t>Hatton</t>
  </si>
  <si>
    <t>Jaffna 2</t>
  </si>
  <si>
    <t>Kaduwela</t>
  </si>
  <si>
    <t>Kandy</t>
  </si>
  <si>
    <t>Katugasthota</t>
  </si>
  <si>
    <t>Kegalle</t>
  </si>
  <si>
    <t>Kuliyapitiya</t>
  </si>
  <si>
    <t>Kurunagala</t>
  </si>
  <si>
    <t>M/M Nuwara</t>
  </si>
  <si>
    <t>Madawachchiya</t>
  </si>
  <si>
    <t>Mahiyanganaya</t>
  </si>
  <si>
    <t>Maho</t>
  </si>
  <si>
    <t>Matara</t>
  </si>
  <si>
    <t>Mathale</t>
  </si>
  <si>
    <t>Mathugama</t>
  </si>
  <si>
    <t>Monaragala 2</t>
  </si>
  <si>
    <t>Muthur</t>
  </si>
  <si>
    <t>N-Eliya</t>
  </si>
  <si>
    <t>Pelmadulla</t>
  </si>
  <si>
    <t>Pettah-1</t>
  </si>
  <si>
    <t>Pettah-2</t>
  </si>
  <si>
    <t>Polonaruwa</t>
  </si>
  <si>
    <t>Rathnapura</t>
  </si>
  <si>
    <t>R'wella</t>
  </si>
  <si>
    <t>Vavuniya</t>
  </si>
  <si>
    <t>Warakapola</t>
  </si>
  <si>
    <t>Wattala</t>
  </si>
  <si>
    <t>VAVUIYA</t>
  </si>
  <si>
    <t>VAVUNIYA</t>
  </si>
  <si>
    <t>G.P.D.GROUP</t>
  </si>
  <si>
    <t>A.N.K.DISTRIBUTOR</t>
  </si>
  <si>
    <t>TRINCO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</si>
  <si>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</si>
  <si>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A.N.K.Distributor</t>
  </si>
  <si>
    <t>Qty Requested By DB</t>
  </si>
  <si>
    <t>Actual  figures</t>
  </si>
  <si>
    <t>Uva Sabaragamuwa</t>
  </si>
  <si>
    <t>HAMBANTHOTA</t>
  </si>
  <si>
    <t>Pet Total</t>
  </si>
  <si>
    <t>Water Total</t>
  </si>
  <si>
    <t>Jaffna 1</t>
  </si>
  <si>
    <t xml:space="preserve">      S/S/Coordinator</t>
  </si>
  <si>
    <t>MEADAWACHCHIYA</t>
  </si>
  <si>
    <r>
      <t>SAJI DISTRIBUTORS</t>
    </r>
    <r>
      <rPr>
        <sz val="8"/>
        <color theme="1"/>
        <rFont val="Arial Narrow"/>
        <family val="2"/>
      </rPr>
      <t/>
    </r>
  </si>
  <si>
    <t>S/S cordineter</t>
  </si>
  <si>
    <t>MAHIYANGANAYA</t>
  </si>
  <si>
    <t>Homagama</t>
  </si>
  <si>
    <t>HOMAGAMA</t>
  </si>
  <si>
    <t xml:space="preserve">HOMAGAMA </t>
  </si>
  <si>
    <t>SUMA TRADING(PVT)LTD</t>
  </si>
  <si>
    <t>RD DISTRIBUTORS</t>
  </si>
  <si>
    <t>ANURA STORES</t>
  </si>
  <si>
    <t>NEW FRESH FOOD MARKETING</t>
  </si>
  <si>
    <t>ROYAL  AGENCY</t>
  </si>
  <si>
    <t>M.N.R.DISTRIBUTORS</t>
  </si>
  <si>
    <t>ARAVINDA DISTRIBUTORS</t>
  </si>
  <si>
    <t>MEGA FOOD PRODUCTS</t>
  </si>
  <si>
    <t>NILU DISTRIBUTORS</t>
  </si>
  <si>
    <t>WELAGEDARA DISTRIBUTORS</t>
  </si>
  <si>
    <t>AMITH DISTRIBUTORS</t>
  </si>
  <si>
    <t>A.T.M DISTRIBUTOR</t>
  </si>
  <si>
    <t>LEEZA DISTRIBUTORS</t>
  </si>
  <si>
    <t>SKNY DISTRIBUTOR</t>
  </si>
  <si>
    <t>COSCO MARKETING</t>
  </si>
  <si>
    <t>RATHNA DISTRIBUTORS</t>
  </si>
  <si>
    <t>RATHNA RICE MILLS&amp;DISTRIBUTORS</t>
  </si>
  <si>
    <t>J.J.UDAYAKANTHA DEDERS</t>
  </si>
  <si>
    <t>MANIKE DISTRIBUTORS</t>
  </si>
  <si>
    <t>LATHIF'S DISTRIBUTOR</t>
  </si>
  <si>
    <t>MEGA FOO PRODUCTS</t>
  </si>
  <si>
    <t>WELAGEDRA DISTRIBUTORS</t>
  </si>
  <si>
    <t>SAGARA ENTERFRISES</t>
  </si>
  <si>
    <t>R&amp;R DISTRIBUTORS</t>
  </si>
  <si>
    <t>MANJULA DISTRIBUTORS</t>
  </si>
  <si>
    <t>WIJETHILAKE DISTRIBUTORS</t>
  </si>
  <si>
    <t>SONWEL DISTRIBUTORS</t>
  </si>
  <si>
    <t>P.PRATHANJANI</t>
  </si>
  <si>
    <t>J.J.UDYA KANTHA DADERS</t>
  </si>
  <si>
    <t>WIJETHILAKA DISTRIBUTORS</t>
  </si>
  <si>
    <t>Leeza Distributors</t>
  </si>
  <si>
    <t>Vasanth traders</t>
  </si>
  <si>
    <t>M.S.M Shiyam</t>
  </si>
  <si>
    <t>Hambanthota</t>
  </si>
  <si>
    <t>Sagara Enterprises</t>
  </si>
  <si>
    <t>Sajath Distributors</t>
  </si>
  <si>
    <t>Sajath Distributor</t>
  </si>
  <si>
    <t>Sri Rangan Enterprise</t>
  </si>
  <si>
    <t>M.S.M.Shiyam</t>
  </si>
  <si>
    <t>M.T.Muzammil</t>
  </si>
  <si>
    <t>Vasanth Traders</t>
  </si>
  <si>
    <t>Rs.99.04</t>
  </si>
  <si>
    <t>Rs.32.10</t>
  </si>
  <si>
    <t>Ruby Distributors</t>
  </si>
  <si>
    <t>Nivithigala</t>
  </si>
  <si>
    <t>PUTTALAM</t>
  </si>
  <si>
    <t>NIVITHIGALA</t>
  </si>
  <si>
    <t>D.C.PIYANTHA KUMARA</t>
  </si>
  <si>
    <t>P.W.N.DAMAYANTHI</t>
  </si>
  <si>
    <t>Akkareipathtu</t>
  </si>
  <si>
    <t>Cosco Marketing</t>
  </si>
  <si>
    <t>Polonnaruwa</t>
  </si>
  <si>
    <t>Sonwel Distributors</t>
  </si>
  <si>
    <t>Puttalam</t>
  </si>
  <si>
    <t>Monaragala 1</t>
  </si>
  <si>
    <t>SRI RANGAN ENTERPRISE</t>
  </si>
  <si>
    <t>sri Rangan Enterprise</t>
  </si>
  <si>
    <t>SKNY Distributor</t>
  </si>
  <si>
    <t>Chavakachcheri</t>
  </si>
  <si>
    <t>CHAVACACHCHERI</t>
  </si>
  <si>
    <t>ALEX DISTRIBUTORS</t>
  </si>
  <si>
    <t>ROYAL AGENCY</t>
  </si>
  <si>
    <t>R &amp; R DISTRIBUTORS</t>
  </si>
  <si>
    <t>chavakachcheri</t>
  </si>
  <si>
    <t>Alex Distributors</t>
  </si>
  <si>
    <t>G.p.D.Group</t>
  </si>
  <si>
    <t>R.I.B.S.M.Rathnamalala</t>
  </si>
  <si>
    <t>L.R.N.J.Bandara</t>
  </si>
  <si>
    <t>H.S.ENTERPRICES</t>
  </si>
  <si>
    <t>D.G.JAYASINHA</t>
  </si>
  <si>
    <t>G.M.S.R.S.KUMARA</t>
  </si>
  <si>
    <t>ALMT.DISTRIBUTOR</t>
  </si>
  <si>
    <t>ALMT.Distributor</t>
  </si>
  <si>
    <t>G.M.Susantha Rasan</t>
  </si>
  <si>
    <t>A'Pura</t>
  </si>
  <si>
    <t>J.J.Udayakantha Daders</t>
  </si>
  <si>
    <t>FREE BOTTLES REPLACEMENT MONTH OF DECEMBER 2015</t>
  </si>
  <si>
    <t>December 2015  Free issues ( FLAVOURS) As  Per the Actual Quantity</t>
  </si>
  <si>
    <t>December 2015 Water Free Issues Requisition</t>
  </si>
  <si>
    <t>December 2015 Water Free  Issues-  actual  figures  for Payment</t>
  </si>
  <si>
    <t>1500ML</t>
  </si>
  <si>
    <t>RD Sales Month Of December 2015</t>
  </si>
  <si>
    <t>2000ml</t>
  </si>
  <si>
    <t>1500ml</t>
  </si>
  <si>
    <t>1000ml</t>
  </si>
  <si>
    <t>330ml</t>
  </si>
  <si>
    <t>5000ml</t>
  </si>
  <si>
    <t>Negambo 01</t>
  </si>
  <si>
    <t>Negombo-2</t>
  </si>
  <si>
    <t>A'pura 2</t>
  </si>
  <si>
    <t>ODDAMAWADY</t>
  </si>
  <si>
    <t xml:space="preserve">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</si>
</sst>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8"/>
      <color theme="1"/>
      <name val="Arial Narrow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u/>
      <sz val="16"/>
      <color theme="1"/>
      <name val="Verdana"/>
      <family val="2"/>
    </font>
    <font>
      <b/>
      <u/>
      <sz val="14"/>
      <color theme="1"/>
      <name val="Cambria"/>
      <family val="1"/>
      <scheme val="major"/>
    </font>
    <font>
      <sz val="9"/>
      <color theme="1"/>
      <name val="Verdana"/>
      <family val="2"/>
    </font>
    <font>
      <sz val="8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6"/>
      <color theme="1"/>
      <name val="Verdana"/>
      <family val="2"/>
    </font>
    <font>
      <b/>
      <i/>
      <sz val="9"/>
      <color theme="1"/>
      <name val="Verdana"/>
      <family val="2"/>
    </font>
    <font>
      <b/>
      <sz val="9"/>
      <color theme="1"/>
      <name val="Verdana"/>
      <family val="2"/>
    </font>
    <font>
      <sz val="9"/>
      <name val="Verdana"/>
      <family val="2"/>
    </font>
    <font>
      <sz val="12"/>
      <color theme="1"/>
      <name val="Verdana"/>
      <family val="2"/>
    </font>
    <font>
      <b/>
      <i/>
      <sz val="16"/>
      <color theme="1"/>
      <name val="Verdana"/>
      <family val="2"/>
    </font>
    <font>
      <b/>
      <i/>
      <sz val="10"/>
      <color theme="1"/>
      <name val="Verdana"/>
      <family val="2"/>
    </font>
    <font>
      <b/>
      <sz val="14"/>
      <color theme="1"/>
      <name val="Verdana"/>
      <family val="2"/>
    </font>
    <font>
      <b/>
      <sz val="10"/>
      <color indexed="8"/>
      <name val="Verdana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Verdana"/>
      <family val="2"/>
    </font>
    <font>
      <b/>
      <u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sz val="12"/>
      <name val="Verdana"/>
      <family val="2"/>
    </font>
    <font>
      <sz val="12"/>
      <color indexed="8"/>
      <name val="Arial"/>
      <family val="2"/>
    </font>
    <font>
      <sz val="10"/>
      <color indexed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auto="1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auto="1"/>
      </left>
      <right/>
      <top style="hair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4" fillId="0" borderId="0">
      <alignment vertical="top"/>
    </xf>
    <xf numFmtId="43" fontId="24" fillId="0" borderId="0" applyFont="0" applyFill="0" applyBorder="0" applyAlignment="0" applyProtection="0">
      <alignment vertical="top"/>
    </xf>
    <xf numFmtId="0" fontId="25" fillId="0" borderId="0">
      <alignment vertical="top"/>
    </xf>
    <xf numFmtId="43" fontId="25" fillId="0" borderId="0" applyFont="0" applyFill="0" applyBorder="0" applyAlignment="0" applyProtection="0">
      <alignment vertical="top"/>
    </xf>
  </cellStyleXfs>
  <cellXfs count="1156">
    <xf numFmtId="0" fontId="0" fillId="0" borderId="0" xfId="0"/>
    <xf numFmtId="0" fontId="4" fillId="0" borderId="0" xfId="0" applyFont="1" applyFill="1" applyBorder="1" applyAlignment="1" applyProtection="1">
      <alignment vertical="center"/>
    </xf>
    <xf numFmtId="0" fontId="4" fillId="0" borderId="5" xfId="0" applyFont="1" applyFill="1" applyBorder="1" applyAlignment="1" applyProtection="1">
      <alignment vertical="center"/>
    </xf>
    <xf numFmtId="0" fontId="4" fillId="0" borderId="2" xfId="0" applyFont="1" applyFill="1" applyBorder="1" applyAlignment="1" applyProtection="1">
      <alignment vertical="center"/>
    </xf>
    <xf numFmtId="0" fontId="4" fillId="0" borderId="3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vertical="center"/>
    </xf>
    <xf numFmtId="0" fontId="4" fillId="0" borderId="3" xfId="0" applyFont="1" applyFill="1" applyBorder="1" applyAlignment="1" applyProtection="1">
      <alignment horizontal="center" vertical="center"/>
    </xf>
    <xf numFmtId="0" fontId="5" fillId="0" borderId="0" xfId="0" applyFont="1" applyProtection="1"/>
    <xf numFmtId="0" fontId="4" fillId="0" borderId="0" xfId="0" applyFont="1" applyAlignment="1" applyProtection="1">
      <alignment vertical="center"/>
    </xf>
    <xf numFmtId="0" fontId="4" fillId="0" borderId="0" xfId="0" applyFont="1" applyProtection="1"/>
    <xf numFmtId="0" fontId="4" fillId="0" borderId="0" xfId="0" applyFont="1" applyFill="1" applyAlignment="1" applyProtection="1">
      <alignment vertical="center"/>
    </xf>
    <xf numFmtId="0" fontId="5" fillId="0" borderId="5" xfId="0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5" fillId="0" borderId="3" xfId="0" applyFont="1" applyFill="1" applyBorder="1" applyAlignment="1" applyProtection="1">
      <alignment vertical="center"/>
    </xf>
    <xf numFmtId="0" fontId="5" fillId="0" borderId="4" xfId="0" applyFont="1" applyFill="1" applyBorder="1" applyAlignment="1" applyProtection="1">
      <alignment vertical="center"/>
    </xf>
    <xf numFmtId="0" fontId="5" fillId="0" borderId="6" xfId="0" applyFont="1" applyFill="1" applyBorder="1" applyAlignment="1" applyProtection="1">
      <alignment vertical="center"/>
    </xf>
    <xf numFmtId="0" fontId="5" fillId="0" borderId="18" xfId="0" applyFont="1" applyFill="1" applyBorder="1" applyAlignment="1" applyProtection="1">
      <alignment vertical="center"/>
    </xf>
    <xf numFmtId="0" fontId="5" fillId="0" borderId="24" xfId="0" applyFont="1" applyFill="1" applyBorder="1" applyAlignment="1" applyProtection="1">
      <alignment vertical="center"/>
    </xf>
    <xf numFmtId="0" fontId="5" fillId="0" borderId="15" xfId="0" applyFont="1" applyFill="1" applyBorder="1" applyAlignment="1" applyProtection="1">
      <alignment vertical="center"/>
    </xf>
    <xf numFmtId="0" fontId="5" fillId="0" borderId="30" xfId="0" applyFont="1" applyFill="1" applyBorder="1" applyAlignment="1" applyProtection="1">
      <alignment vertical="center"/>
    </xf>
    <xf numFmtId="0" fontId="5" fillId="0" borderId="13" xfId="0" applyFont="1" applyFill="1" applyBorder="1" applyAlignment="1" applyProtection="1">
      <alignment vertical="center"/>
    </xf>
    <xf numFmtId="0" fontId="5" fillId="0" borderId="31" xfId="0" applyFont="1" applyFill="1" applyBorder="1" applyAlignment="1" applyProtection="1">
      <alignment vertical="center"/>
    </xf>
    <xf numFmtId="0" fontId="5" fillId="0" borderId="9" xfId="0" applyFont="1" applyFill="1" applyBorder="1" applyAlignment="1" applyProtection="1">
      <alignment vertical="center"/>
    </xf>
    <xf numFmtId="0" fontId="5" fillId="0" borderId="5" xfId="3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0" xfId="0" applyFont="1" applyBorder="1" applyProtection="1"/>
    <xf numFmtId="0" fontId="5" fillId="0" borderId="0" xfId="3" applyFont="1" applyFill="1" applyBorder="1" applyAlignment="1" applyProtection="1">
      <alignment horizontal="left" vertical="center"/>
    </xf>
    <xf numFmtId="0" fontId="5" fillId="0" borderId="23" xfId="0" applyFont="1" applyFill="1" applyBorder="1" applyAlignment="1" applyProtection="1">
      <alignment vertical="center"/>
    </xf>
    <xf numFmtId="0" fontId="5" fillId="0" borderId="17" xfId="0" applyFont="1" applyFill="1" applyBorder="1" applyAlignment="1" applyProtection="1">
      <alignment vertical="center"/>
    </xf>
    <xf numFmtId="0" fontId="5" fillId="0" borderId="8" xfId="0" applyFont="1" applyFill="1" applyBorder="1" applyAlignment="1" applyProtection="1">
      <alignment vertical="center"/>
    </xf>
    <xf numFmtId="0" fontId="5" fillId="0" borderId="12" xfId="0" applyFont="1" applyFill="1" applyBorder="1" applyAlignment="1" applyProtection="1">
      <alignment vertical="center"/>
    </xf>
    <xf numFmtId="0" fontId="5" fillId="0" borderId="11" xfId="0" applyFont="1" applyFill="1" applyBorder="1" applyAlignment="1" applyProtection="1">
      <alignment vertical="center"/>
    </xf>
    <xf numFmtId="0" fontId="5" fillId="0" borderId="7" xfId="0" applyFont="1" applyFill="1" applyBorder="1" applyAlignment="1" applyProtection="1">
      <alignment vertical="center"/>
    </xf>
    <xf numFmtId="0" fontId="5" fillId="0" borderId="33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 vertical="center"/>
    </xf>
    <xf numFmtId="43" fontId="5" fillId="0" borderId="0" xfId="1" applyFont="1" applyFill="1" applyAlignment="1" applyProtection="1">
      <alignment vertical="center"/>
    </xf>
    <xf numFmtId="0" fontId="5" fillId="0" borderId="0" xfId="0" applyFont="1" applyFill="1" applyAlignment="1" applyProtection="1">
      <alignment horizontal="left" vertical="center"/>
    </xf>
    <xf numFmtId="0" fontId="5" fillId="0" borderId="0" xfId="0" applyFont="1" applyFill="1" applyAlignment="1" applyProtection="1">
      <alignment horizontal="center" vertical="center"/>
    </xf>
    <xf numFmtId="0" fontId="4" fillId="5" borderId="3" xfId="0" applyFont="1" applyFill="1" applyBorder="1" applyAlignment="1" applyProtection="1">
      <alignment vertical="center"/>
    </xf>
    <xf numFmtId="0" fontId="4" fillId="5" borderId="2" xfId="0" applyFont="1" applyFill="1" applyBorder="1" applyAlignment="1" applyProtection="1">
      <alignment vertical="center"/>
    </xf>
    <xf numFmtId="0" fontId="4" fillId="5" borderId="1" xfId="0" applyFont="1" applyFill="1" applyBorder="1" applyAlignment="1" applyProtection="1">
      <alignment vertical="center"/>
    </xf>
    <xf numFmtId="0" fontId="4" fillId="5" borderId="5" xfId="0" applyFont="1" applyFill="1" applyBorder="1" applyAlignment="1" applyProtection="1">
      <alignment vertical="center"/>
    </xf>
    <xf numFmtId="0" fontId="4" fillId="5" borderId="4" xfId="0" applyFont="1" applyFill="1" applyBorder="1" applyAlignment="1" applyProtection="1">
      <alignment vertical="center"/>
    </xf>
    <xf numFmtId="0" fontId="5" fillId="5" borderId="3" xfId="0" applyFont="1" applyFill="1" applyBorder="1" applyAlignment="1" applyProtection="1">
      <alignment vertical="center"/>
    </xf>
    <xf numFmtId="0" fontId="5" fillId="5" borderId="5" xfId="0" applyFont="1" applyFill="1" applyBorder="1" applyAlignment="1" applyProtection="1">
      <alignment vertical="center"/>
    </xf>
    <xf numFmtId="0" fontId="5" fillId="5" borderId="4" xfId="0" applyFont="1" applyFill="1" applyBorder="1" applyAlignment="1" applyProtection="1">
      <alignment vertical="center"/>
    </xf>
    <xf numFmtId="164" fontId="5" fillId="5" borderId="31" xfId="2" applyNumberFormat="1" applyFont="1" applyFill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  <protection locked="0"/>
    </xf>
    <xf numFmtId="0" fontId="5" fillId="0" borderId="0" xfId="0" applyFont="1"/>
    <xf numFmtId="0" fontId="5" fillId="0" borderId="0" xfId="0" applyFont="1" applyBorder="1" applyAlignment="1"/>
    <xf numFmtId="0" fontId="5" fillId="0" borderId="25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0" xfId="0" applyFont="1" applyBorder="1"/>
    <xf numFmtId="164" fontId="5" fillId="0" borderId="0" xfId="1" applyNumberFormat="1" applyFont="1" applyBorder="1" applyAlignment="1">
      <alignment horizontal="right"/>
    </xf>
    <xf numFmtId="164" fontId="5" fillId="0" borderId="0" xfId="1" applyNumberFormat="1" applyFont="1" applyBorder="1" applyAlignment="1">
      <alignment horizontal="right" vertical="top"/>
    </xf>
    <xf numFmtId="164" fontId="5" fillId="6" borderId="0" xfId="1" applyNumberFormat="1" applyFont="1" applyFill="1" applyBorder="1" applyAlignment="1">
      <alignment horizontal="right"/>
    </xf>
    <xf numFmtId="164" fontId="5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right"/>
    </xf>
    <xf numFmtId="164" fontId="5" fillId="0" borderId="0" xfId="1" applyNumberFormat="1" applyFont="1" applyBorder="1" applyAlignment="1">
      <alignment horizontal="right" vertical="center"/>
    </xf>
    <xf numFmtId="164" fontId="4" fillId="0" borderId="0" xfId="1" applyNumberFormat="1" applyFont="1" applyBorder="1" applyAlignment="1">
      <alignment horizontal="right"/>
    </xf>
    <xf numFmtId="164" fontId="4" fillId="0" borderId="14" xfId="1" applyNumberFormat="1" applyFont="1" applyBorder="1" applyAlignment="1">
      <alignment horizontal="center" vertical="center"/>
    </xf>
    <xf numFmtId="164" fontId="4" fillId="0" borderId="53" xfId="1" applyNumberFormat="1" applyFont="1" applyBorder="1" applyAlignment="1">
      <alignment horizontal="center" vertical="center"/>
    </xf>
    <xf numFmtId="164" fontId="4" fillId="0" borderId="29" xfId="1" applyNumberFormat="1" applyFont="1" applyBorder="1" applyAlignment="1">
      <alignment horizontal="center" vertical="center"/>
    </xf>
    <xf numFmtId="164" fontId="4" fillId="0" borderId="24" xfId="1" applyNumberFormat="1" applyFont="1" applyBorder="1" applyAlignment="1">
      <alignment horizontal="center" vertical="center"/>
    </xf>
    <xf numFmtId="164" fontId="4" fillId="0" borderId="30" xfId="1" applyNumberFormat="1" applyFont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left"/>
    </xf>
    <xf numFmtId="0" fontId="5" fillId="6" borderId="0" xfId="0" applyFont="1" applyFill="1" applyBorder="1"/>
    <xf numFmtId="164" fontId="5" fillId="5" borderId="0" xfId="2" applyNumberFormat="1" applyFont="1" applyFill="1" applyBorder="1" applyAlignment="1" applyProtection="1">
      <alignment vertical="center"/>
    </xf>
    <xf numFmtId="0" fontId="5" fillId="0" borderId="10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5" borderId="0" xfId="0" applyFont="1" applyFill="1" applyBorder="1"/>
    <xf numFmtId="0" fontId="5" fillId="0" borderId="0" xfId="0" applyFont="1" applyFill="1" applyProtection="1"/>
    <xf numFmtId="0" fontId="4" fillId="0" borderId="0" xfId="0" applyFont="1"/>
    <xf numFmtId="43" fontId="5" fillId="0" borderId="0" xfId="1" applyFont="1" applyBorder="1" applyAlignment="1">
      <alignment horizontal="right"/>
    </xf>
    <xf numFmtId="43" fontId="5" fillId="0" borderId="0" xfId="1" applyFont="1" applyBorder="1" applyAlignment="1">
      <alignment horizontal="right" vertical="center"/>
    </xf>
    <xf numFmtId="43" fontId="5" fillId="6" borderId="0" xfId="1" applyFont="1" applyFill="1" applyBorder="1" applyAlignment="1">
      <alignment horizontal="right"/>
    </xf>
    <xf numFmtId="0" fontId="5" fillId="0" borderId="0" xfId="0" applyFont="1" applyFill="1" applyBorder="1" applyProtection="1"/>
    <xf numFmtId="0" fontId="13" fillId="0" borderId="0" xfId="0" applyFont="1"/>
    <xf numFmtId="0" fontId="12" fillId="0" borderId="0" xfId="0" applyFont="1"/>
    <xf numFmtId="164" fontId="13" fillId="0" borderId="0" xfId="1" applyNumberFormat="1" applyFont="1"/>
    <xf numFmtId="43" fontId="13" fillId="0" borderId="0" xfId="1" applyFont="1"/>
    <xf numFmtId="0" fontId="12" fillId="0" borderId="1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5" fillId="0" borderId="0" xfId="0" applyFont="1" applyFill="1" applyAlignment="1" applyProtection="1">
      <alignment vertical="center"/>
    </xf>
    <xf numFmtId="164" fontId="4" fillId="0" borderId="1" xfId="1" applyNumberFormat="1" applyFont="1" applyFill="1" applyBorder="1" applyAlignment="1" applyProtection="1">
      <alignment vertical="center"/>
    </xf>
    <xf numFmtId="43" fontId="4" fillId="0" borderId="2" xfId="1" applyFont="1" applyFill="1" applyBorder="1" applyAlignment="1" applyProtection="1">
      <alignment vertical="center"/>
    </xf>
    <xf numFmtId="164" fontId="4" fillId="0" borderId="2" xfId="1" applyNumberFormat="1" applyFont="1" applyFill="1" applyBorder="1" applyAlignment="1" applyProtection="1">
      <alignment vertical="center"/>
    </xf>
    <xf numFmtId="164" fontId="4" fillId="0" borderId="5" xfId="1" applyNumberFormat="1" applyFont="1" applyFill="1" applyBorder="1" applyAlignment="1" applyProtection="1">
      <alignment vertical="center"/>
    </xf>
    <xf numFmtId="43" fontId="4" fillId="0" borderId="1" xfId="1" applyFont="1" applyFill="1" applyBorder="1" applyAlignment="1" applyProtection="1">
      <alignment vertical="center"/>
    </xf>
    <xf numFmtId="0" fontId="10" fillId="0" borderId="0" xfId="0" applyFont="1" applyFill="1" applyAlignment="1" applyProtection="1">
      <alignment vertical="center"/>
    </xf>
    <xf numFmtId="0" fontId="16" fillId="0" borderId="42" xfId="0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 applyProtection="1">
      <alignment vertical="center"/>
    </xf>
    <xf numFmtId="0" fontId="17" fillId="0" borderId="0" xfId="0" applyFont="1" applyFill="1" applyAlignment="1" applyProtection="1">
      <alignment vertical="center"/>
    </xf>
    <xf numFmtId="164" fontId="10" fillId="0" borderId="0" xfId="1" applyNumberFormat="1" applyFont="1" applyFill="1" applyAlignment="1" applyProtection="1">
      <alignment vertical="center"/>
    </xf>
    <xf numFmtId="43" fontId="10" fillId="0" borderId="0" xfId="1" applyFont="1" applyFill="1" applyAlignment="1" applyProtection="1">
      <alignment vertical="center"/>
    </xf>
    <xf numFmtId="164" fontId="10" fillId="0" borderId="69" xfId="1" applyNumberFormat="1" applyFont="1" applyFill="1" applyBorder="1" applyAlignment="1" applyProtection="1">
      <alignment vertical="center"/>
    </xf>
    <xf numFmtId="164" fontId="10" fillId="0" borderId="66" xfId="1" applyNumberFormat="1" applyFont="1" applyFill="1" applyBorder="1" applyAlignment="1" applyProtection="1">
      <alignment vertical="center"/>
    </xf>
    <xf numFmtId="164" fontId="10" fillId="0" borderId="58" xfId="1" applyNumberFormat="1" applyFont="1" applyFill="1" applyBorder="1" applyAlignment="1" applyProtection="1">
      <alignment vertical="center"/>
    </xf>
    <xf numFmtId="164" fontId="10" fillId="0" borderId="72" xfId="1" applyNumberFormat="1" applyFont="1" applyFill="1" applyBorder="1" applyAlignment="1" applyProtection="1">
      <alignment vertical="center"/>
    </xf>
    <xf numFmtId="164" fontId="10" fillId="0" borderId="70" xfId="1" applyNumberFormat="1" applyFont="1" applyFill="1" applyBorder="1" applyAlignment="1" applyProtection="1">
      <alignment vertical="center"/>
    </xf>
    <xf numFmtId="164" fontId="10" fillId="0" borderId="67" xfId="1" applyNumberFormat="1" applyFont="1" applyFill="1" applyBorder="1" applyAlignment="1" applyProtection="1">
      <alignment vertical="center"/>
    </xf>
    <xf numFmtId="164" fontId="10" fillId="0" borderId="61" xfId="1" applyNumberFormat="1" applyFont="1" applyFill="1" applyBorder="1" applyAlignment="1" applyProtection="1">
      <alignment vertical="center"/>
    </xf>
    <xf numFmtId="164" fontId="10" fillId="0" borderId="56" xfId="1" applyNumberFormat="1" applyFont="1" applyFill="1" applyBorder="1" applyAlignment="1" applyProtection="1">
      <alignment vertical="center"/>
    </xf>
    <xf numFmtId="164" fontId="10" fillId="0" borderId="71" xfId="1" applyNumberFormat="1" applyFont="1" applyFill="1" applyBorder="1" applyAlignment="1" applyProtection="1">
      <alignment vertical="center"/>
    </xf>
    <xf numFmtId="164" fontId="10" fillId="0" borderId="68" xfId="1" applyNumberFormat="1" applyFont="1" applyFill="1" applyBorder="1" applyAlignment="1" applyProtection="1">
      <alignment vertical="center"/>
    </xf>
    <xf numFmtId="164" fontId="10" fillId="0" borderId="64" xfId="1" applyNumberFormat="1" applyFont="1" applyFill="1" applyBorder="1" applyAlignment="1" applyProtection="1">
      <alignment vertical="center"/>
    </xf>
    <xf numFmtId="164" fontId="10" fillId="0" borderId="73" xfId="1" applyNumberFormat="1" applyFont="1" applyFill="1" applyBorder="1" applyAlignment="1" applyProtection="1">
      <alignment vertical="center"/>
    </xf>
    <xf numFmtId="0" fontId="12" fillId="0" borderId="0" xfId="0" applyFont="1" applyBorder="1"/>
    <xf numFmtId="0" fontId="17" fillId="0" borderId="0" xfId="0" applyFont="1" applyFill="1" applyBorder="1" applyAlignment="1" applyProtection="1">
      <alignment vertical="center"/>
    </xf>
    <xf numFmtId="0" fontId="13" fillId="0" borderId="0" xfId="0" applyFont="1" applyBorder="1"/>
    <xf numFmtId="164" fontId="10" fillId="0" borderId="0" xfId="1" applyNumberFormat="1" applyFont="1" applyFill="1" applyBorder="1" applyAlignment="1" applyProtection="1">
      <alignment vertical="center"/>
    </xf>
    <xf numFmtId="43" fontId="10" fillId="0" borderId="0" xfId="1" applyFont="1" applyFill="1" applyBorder="1" applyAlignment="1" applyProtection="1">
      <alignment vertical="center"/>
    </xf>
    <xf numFmtId="0" fontId="10" fillId="0" borderId="6" xfId="0" applyFont="1" applyFill="1" applyBorder="1" applyAlignment="1" applyProtection="1">
      <alignment vertical="center"/>
    </xf>
    <xf numFmtId="164" fontId="10" fillId="0" borderId="28" xfId="1" applyNumberFormat="1" applyFont="1" applyFill="1" applyBorder="1" applyAlignment="1" applyProtection="1">
      <alignment vertical="center"/>
    </xf>
    <xf numFmtId="164" fontId="10" fillId="0" borderId="42" xfId="1" applyNumberFormat="1" applyFont="1" applyFill="1" applyBorder="1" applyAlignment="1" applyProtection="1">
      <alignment vertical="center"/>
    </xf>
    <xf numFmtId="164" fontId="10" fillId="0" borderId="14" xfId="1" applyNumberFormat="1" applyFont="1" applyFill="1" applyBorder="1" applyAlignment="1" applyProtection="1">
      <alignment vertical="center"/>
    </xf>
    <xf numFmtId="164" fontId="10" fillId="0" borderId="29" xfId="1" applyNumberFormat="1" applyFont="1" applyFill="1" applyBorder="1" applyAlignment="1" applyProtection="1">
      <alignment vertical="center"/>
    </xf>
    <xf numFmtId="43" fontId="10" fillId="0" borderId="6" xfId="0" applyNumberFormat="1" applyFont="1" applyFill="1" applyBorder="1" applyAlignment="1" applyProtection="1">
      <alignment vertical="center"/>
    </xf>
    <xf numFmtId="0" fontId="10" fillId="0" borderId="56" xfId="0" applyFont="1" applyFill="1" applyBorder="1" applyAlignment="1" applyProtection="1">
      <alignment vertical="center"/>
    </xf>
    <xf numFmtId="164" fontId="10" fillId="0" borderId="60" xfId="1" applyNumberFormat="1" applyFont="1" applyFill="1" applyBorder="1" applyAlignment="1" applyProtection="1">
      <alignment vertical="center"/>
    </xf>
    <xf numFmtId="164" fontId="10" fillId="0" borderId="62" xfId="1" applyNumberFormat="1" applyFont="1" applyFill="1" applyBorder="1" applyAlignment="1" applyProtection="1">
      <alignment vertical="center"/>
    </xf>
    <xf numFmtId="43" fontId="10" fillId="0" borderId="56" xfId="0" applyNumberFormat="1" applyFont="1" applyFill="1" applyBorder="1" applyAlignment="1" applyProtection="1">
      <alignment vertical="center"/>
    </xf>
    <xf numFmtId="0" fontId="10" fillId="0" borderId="75" xfId="3" applyFont="1" applyFill="1" applyBorder="1" applyAlignment="1" applyProtection="1">
      <alignment horizontal="left" vertical="center"/>
    </xf>
    <xf numFmtId="0" fontId="10" fillId="0" borderId="56" xfId="3" applyFont="1" applyFill="1" applyBorder="1" applyAlignment="1" applyProtection="1">
      <alignment vertical="center"/>
    </xf>
    <xf numFmtId="0" fontId="10" fillId="0" borderId="7" xfId="0" applyFont="1" applyFill="1" applyBorder="1" applyAlignment="1" applyProtection="1">
      <alignment vertical="center"/>
    </xf>
    <xf numFmtId="164" fontId="10" fillId="0" borderId="31" xfId="1" applyNumberFormat="1" applyFont="1" applyFill="1" applyBorder="1" applyAlignment="1" applyProtection="1">
      <alignment vertical="center"/>
    </xf>
    <xf numFmtId="164" fontId="10" fillId="0" borderId="49" xfId="1" applyNumberFormat="1" applyFont="1" applyFill="1" applyBorder="1" applyAlignment="1" applyProtection="1">
      <alignment vertical="center"/>
    </xf>
    <xf numFmtId="164" fontId="10" fillId="0" borderId="9" xfId="1" applyNumberFormat="1" applyFont="1" applyFill="1" applyBorder="1" applyAlignment="1" applyProtection="1">
      <alignment vertical="center"/>
    </xf>
    <xf numFmtId="164" fontId="10" fillId="0" borderId="32" xfId="1" applyNumberFormat="1" applyFont="1" applyFill="1" applyBorder="1" applyAlignment="1" applyProtection="1">
      <alignment vertical="center"/>
    </xf>
    <xf numFmtId="43" fontId="10" fillId="0" borderId="7" xfId="0" applyNumberFormat="1" applyFont="1" applyFill="1" applyBorder="1" applyAlignment="1" applyProtection="1">
      <alignment vertical="center"/>
    </xf>
    <xf numFmtId="0" fontId="10" fillId="0" borderId="8" xfId="0" applyFont="1" applyFill="1" applyBorder="1" applyAlignment="1" applyProtection="1">
      <alignment vertical="center"/>
    </xf>
    <xf numFmtId="0" fontId="17" fillId="0" borderId="0" xfId="0" applyFont="1" applyFill="1" applyBorder="1" applyAlignment="1" applyProtection="1">
      <alignment horizontal="left" vertical="center"/>
    </xf>
    <xf numFmtId="0" fontId="19" fillId="0" borderId="0" xfId="0" applyFont="1" applyFill="1" applyAlignment="1" applyProtection="1">
      <alignment horizontal="left" vertical="center"/>
    </xf>
    <xf numFmtId="0" fontId="19" fillId="0" borderId="0" xfId="0" applyFont="1" applyFill="1" applyAlignment="1" applyProtection="1">
      <alignment vertical="center"/>
    </xf>
    <xf numFmtId="0" fontId="10" fillId="0" borderId="0" xfId="0" applyFont="1" applyFill="1" applyAlignment="1" applyProtection="1">
      <alignment horizontal="left" vertical="center"/>
    </xf>
    <xf numFmtId="164" fontId="14" fillId="0" borderId="0" xfId="1" applyNumberFormat="1" applyFont="1" applyProtection="1">
      <protection locked="0"/>
    </xf>
    <xf numFmtId="164" fontId="4" fillId="0" borderId="0" xfId="1" applyNumberFormat="1" applyFont="1" applyProtection="1">
      <protection locked="0"/>
    </xf>
    <xf numFmtId="164" fontId="4" fillId="0" borderId="0" xfId="1" applyNumberFormat="1" applyFont="1" applyFill="1" applyAlignment="1" applyProtection="1">
      <alignment horizontal="center" vertical="center"/>
    </xf>
    <xf numFmtId="0" fontId="19" fillId="0" borderId="0" xfId="0" applyFont="1" applyFill="1" applyAlignment="1" applyProtection="1">
      <alignment horizontal="center" vertical="center"/>
    </xf>
    <xf numFmtId="164" fontId="10" fillId="0" borderId="79" xfId="1" applyNumberFormat="1" applyFont="1" applyFill="1" applyBorder="1" applyAlignment="1" applyProtection="1">
      <alignment vertical="center"/>
    </xf>
    <xf numFmtId="0" fontId="14" fillId="0" borderId="0" xfId="0" applyFont="1" applyFill="1" applyAlignment="1" applyProtection="1">
      <alignment horizontal="left" vertical="center"/>
    </xf>
    <xf numFmtId="0" fontId="14" fillId="0" borderId="0" xfId="0" applyFont="1" applyFill="1" applyAlignment="1" applyProtection="1">
      <alignment vertical="center"/>
    </xf>
    <xf numFmtId="164" fontId="12" fillId="0" borderId="0" xfId="1" applyNumberFormat="1" applyFont="1"/>
    <xf numFmtId="43" fontId="12" fillId="0" borderId="0" xfId="1" applyFont="1"/>
    <xf numFmtId="0" fontId="17" fillId="0" borderId="0" xfId="0" applyFont="1" applyFill="1" applyAlignment="1" applyProtection="1">
      <alignment horizontal="left" vertical="center"/>
    </xf>
    <xf numFmtId="0" fontId="14" fillId="0" borderId="0" xfId="0" applyFont="1"/>
    <xf numFmtId="43" fontId="14" fillId="0" borderId="0" xfId="1" applyFont="1" applyProtection="1">
      <protection locked="0"/>
    </xf>
    <xf numFmtId="164" fontId="14" fillId="0" borderId="0" xfId="1" applyNumberFormat="1" applyFont="1" applyFill="1" applyProtection="1">
      <protection locked="0"/>
    </xf>
    <xf numFmtId="164" fontId="14" fillId="0" borderId="0" xfId="1" applyNumberFormat="1" applyFont="1"/>
    <xf numFmtId="43" fontId="4" fillId="0" borderId="0" xfId="1" applyFont="1" applyProtection="1">
      <protection locked="0"/>
    </xf>
    <xf numFmtId="0" fontId="13" fillId="0" borderId="0" xfId="0" applyFont="1" applyFill="1"/>
    <xf numFmtId="0" fontId="20" fillId="0" borderId="0" xfId="0" applyFont="1" applyFill="1" applyBorder="1" applyAlignment="1" applyProtection="1">
      <alignment horizontal="left" vertical="center"/>
    </xf>
    <xf numFmtId="164" fontId="15" fillId="0" borderId="0" xfId="1" applyNumberFormat="1" applyFont="1" applyFill="1" applyAlignment="1" applyProtection="1">
      <alignment vertical="center"/>
    </xf>
    <xf numFmtId="43" fontId="15" fillId="0" borderId="0" xfId="1" applyFont="1" applyFill="1" applyAlignment="1" applyProtection="1">
      <alignment vertical="center"/>
    </xf>
    <xf numFmtId="0" fontId="13" fillId="0" borderId="0" xfId="0" applyFont="1" applyFill="1" applyBorder="1"/>
    <xf numFmtId="0" fontId="15" fillId="0" borderId="0" xfId="0" applyFont="1" applyFill="1" applyBorder="1" applyAlignment="1" applyProtection="1">
      <alignment vertical="center"/>
    </xf>
    <xf numFmtId="43" fontId="5" fillId="0" borderId="0" xfId="0" applyNumberFormat="1" applyFont="1" applyFill="1"/>
    <xf numFmtId="43" fontId="21" fillId="0" borderId="0" xfId="0" applyNumberFormat="1" applyFont="1" applyFill="1" applyBorder="1" applyAlignment="1" applyProtection="1">
      <alignment horizontal="left" vertical="center"/>
    </xf>
    <xf numFmtId="43" fontId="5" fillId="0" borderId="0" xfId="0" applyNumberFormat="1" applyFont="1" applyFill="1" applyAlignment="1" applyProtection="1">
      <alignment vertical="center"/>
    </xf>
    <xf numFmtId="43" fontId="5" fillId="0" borderId="0" xfId="1" applyNumberFormat="1" applyFont="1" applyFill="1" applyAlignment="1" applyProtection="1">
      <alignment vertical="center"/>
    </xf>
    <xf numFmtId="0" fontId="16" fillId="0" borderId="0" xfId="0" applyFont="1" applyFill="1" applyBorder="1" applyAlignment="1" applyProtection="1">
      <alignment horizontal="center" vertical="center" wrapText="1"/>
    </xf>
    <xf numFmtId="43" fontId="10" fillId="0" borderId="0" xfId="0" applyNumberFormat="1" applyFont="1" applyFill="1" applyAlignment="1" applyProtection="1">
      <alignment vertical="center"/>
    </xf>
    <xf numFmtId="164" fontId="13" fillId="0" borderId="0" xfId="1" applyNumberFormat="1" applyFont="1" applyFill="1" applyBorder="1"/>
    <xf numFmtId="164" fontId="13" fillId="0" borderId="0" xfId="1" applyNumberFormat="1" applyFont="1" applyFill="1"/>
    <xf numFmtId="43" fontId="13" fillId="0" borderId="0" xfId="1" applyFont="1" applyFill="1"/>
    <xf numFmtId="43" fontId="19" fillId="0" borderId="0" xfId="1" applyFont="1" applyFill="1" applyAlignment="1" applyProtection="1">
      <alignment vertical="center"/>
    </xf>
    <xf numFmtId="164" fontId="10" fillId="0" borderId="87" xfId="1" applyNumberFormat="1" applyFont="1" applyFill="1" applyBorder="1" applyAlignment="1" applyProtection="1">
      <alignment vertical="center"/>
    </xf>
    <xf numFmtId="164" fontId="10" fillId="0" borderId="88" xfId="1" applyNumberFormat="1" applyFont="1" applyFill="1" applyBorder="1" applyAlignment="1" applyProtection="1">
      <alignment vertical="center"/>
    </xf>
    <xf numFmtId="164" fontId="10" fillId="0" borderId="89" xfId="1" applyNumberFormat="1" applyFont="1" applyFill="1" applyBorder="1" applyAlignment="1" applyProtection="1">
      <alignment vertical="center"/>
    </xf>
    <xf numFmtId="164" fontId="10" fillId="0" borderId="57" xfId="1" applyNumberFormat="1" applyFont="1" applyFill="1" applyBorder="1" applyAlignment="1" applyProtection="1">
      <alignment vertical="center"/>
    </xf>
    <xf numFmtId="164" fontId="10" fillId="0" borderId="59" xfId="1" applyNumberFormat="1" applyFont="1" applyFill="1" applyBorder="1" applyAlignment="1" applyProtection="1">
      <alignment vertical="center"/>
    </xf>
    <xf numFmtId="164" fontId="10" fillId="0" borderId="63" xfId="1" applyNumberFormat="1" applyFont="1" applyFill="1" applyBorder="1" applyAlignment="1" applyProtection="1">
      <alignment vertical="center"/>
    </xf>
    <xf numFmtId="164" fontId="10" fillId="0" borderId="65" xfId="1" applyNumberFormat="1" applyFont="1" applyFill="1" applyBorder="1" applyAlignment="1" applyProtection="1">
      <alignment vertical="center"/>
    </xf>
    <xf numFmtId="43" fontId="10" fillId="0" borderId="72" xfId="0" applyNumberFormat="1" applyFont="1" applyFill="1" applyBorder="1" applyAlignment="1" applyProtection="1">
      <alignment vertical="center"/>
    </xf>
    <xf numFmtId="43" fontId="10" fillId="0" borderId="73" xfId="0" applyNumberFormat="1" applyFont="1" applyFill="1" applyBorder="1" applyAlignment="1" applyProtection="1">
      <alignment vertical="center"/>
    </xf>
    <xf numFmtId="43" fontId="10" fillId="0" borderId="82" xfId="0" applyNumberFormat="1" applyFont="1" applyFill="1" applyBorder="1" applyAlignment="1" applyProtection="1">
      <alignment vertical="center"/>
    </xf>
    <xf numFmtId="164" fontId="10" fillId="0" borderId="91" xfId="1" applyNumberFormat="1" applyFont="1" applyFill="1" applyBorder="1" applyAlignment="1" applyProtection="1">
      <alignment vertical="center"/>
    </xf>
    <xf numFmtId="164" fontId="10" fillId="0" borderId="90" xfId="1" applyNumberFormat="1" applyFont="1" applyFill="1" applyBorder="1" applyAlignment="1" applyProtection="1">
      <alignment vertical="center"/>
    </xf>
    <xf numFmtId="0" fontId="18" fillId="0" borderId="77" xfId="0" applyFont="1" applyFill="1" applyBorder="1" applyAlignment="1" applyProtection="1">
      <alignment horizontal="left" vertical="center"/>
    </xf>
    <xf numFmtId="0" fontId="18" fillId="0" borderId="10" xfId="0" applyFont="1" applyFill="1" applyBorder="1" applyAlignment="1" applyProtection="1">
      <alignment horizontal="left" vertical="center"/>
    </xf>
    <xf numFmtId="0" fontId="10" fillId="0" borderId="92" xfId="0" applyFont="1" applyFill="1" applyBorder="1" applyAlignment="1" applyProtection="1">
      <alignment horizontal="left" vertical="center"/>
    </xf>
    <xf numFmtId="0" fontId="10" fillId="0" borderId="77" xfId="0" applyFont="1" applyFill="1" applyBorder="1" applyAlignment="1" applyProtection="1">
      <alignment horizontal="left" vertical="center"/>
    </xf>
    <xf numFmtId="0" fontId="11" fillId="0" borderId="93" xfId="0" applyFont="1" applyFill="1" applyBorder="1" applyAlignment="1" applyProtection="1">
      <alignment horizontal="left" vertical="center"/>
    </xf>
    <xf numFmtId="0" fontId="10" fillId="0" borderId="77" xfId="0" applyFont="1" applyFill="1" applyBorder="1" applyAlignment="1" applyProtection="1">
      <alignment vertical="center"/>
    </xf>
    <xf numFmtId="0" fontId="10" fillId="0" borderId="72" xfId="0" applyFont="1" applyFill="1" applyBorder="1" applyAlignment="1" applyProtection="1">
      <alignment vertical="center"/>
    </xf>
    <xf numFmtId="0" fontId="10" fillId="0" borderId="73" xfId="0" applyFont="1" applyFill="1" applyBorder="1" applyAlignment="1" applyProtection="1">
      <alignment vertical="center"/>
    </xf>
    <xf numFmtId="0" fontId="10" fillId="0" borderId="82" xfId="0" applyFont="1" applyFill="1" applyBorder="1" applyAlignment="1" applyProtection="1">
      <alignment vertical="center"/>
    </xf>
    <xf numFmtId="0" fontId="10" fillId="0" borderId="8" xfId="0" applyFont="1" applyFill="1" applyBorder="1" applyAlignment="1" applyProtection="1">
      <alignment horizontal="left" vertical="center"/>
    </xf>
    <xf numFmtId="0" fontId="10" fillId="0" borderId="10" xfId="0" applyFont="1" applyFill="1" applyBorder="1" applyAlignment="1" applyProtection="1">
      <alignment horizontal="left" vertical="center"/>
    </xf>
    <xf numFmtId="0" fontId="10" fillId="0" borderId="12" xfId="0" applyFont="1" applyFill="1" applyBorder="1" applyAlignment="1" applyProtection="1">
      <alignment horizontal="left" vertical="center"/>
    </xf>
    <xf numFmtId="43" fontId="10" fillId="0" borderId="6" xfId="0" applyNumberFormat="1" applyFont="1" applyFill="1" applyBorder="1"/>
    <xf numFmtId="0" fontId="10" fillId="0" borderId="75" xfId="0" applyFont="1" applyFill="1" applyBorder="1" applyAlignment="1" applyProtection="1">
      <alignment horizontal="left" vertical="center"/>
    </xf>
    <xf numFmtId="43" fontId="10" fillId="0" borderId="56" xfId="0" applyNumberFormat="1" applyFont="1" applyFill="1" applyBorder="1"/>
    <xf numFmtId="164" fontId="10" fillId="0" borderId="6" xfId="1" applyNumberFormat="1" applyFont="1" applyFill="1" applyBorder="1" applyAlignment="1" applyProtection="1">
      <alignment vertical="center"/>
    </xf>
    <xf numFmtId="164" fontId="10" fillId="0" borderId="53" xfId="1" applyNumberFormat="1" applyFont="1" applyFill="1" applyBorder="1" applyAlignment="1" applyProtection="1">
      <alignment vertical="center"/>
    </xf>
    <xf numFmtId="164" fontId="10" fillId="0" borderId="37" xfId="1" applyNumberFormat="1" applyFont="1" applyFill="1" applyBorder="1" applyAlignment="1" applyProtection="1">
      <alignment vertical="center"/>
    </xf>
    <xf numFmtId="0" fontId="5" fillId="0" borderId="56" xfId="0" applyFont="1" applyFill="1" applyBorder="1" applyAlignment="1" applyProtection="1">
      <alignment vertical="center"/>
    </xf>
    <xf numFmtId="0" fontId="5" fillId="0" borderId="75" xfId="0" applyFont="1" applyFill="1" applyBorder="1" applyAlignment="1" applyProtection="1">
      <alignment vertical="center"/>
    </xf>
    <xf numFmtId="0" fontId="5" fillId="0" borderId="60" xfId="0" applyFont="1" applyFill="1" applyBorder="1" applyAlignment="1" applyProtection="1">
      <alignment vertical="center"/>
    </xf>
    <xf numFmtId="0" fontId="5" fillId="0" borderId="61" xfId="0" applyFont="1" applyFill="1" applyBorder="1" applyAlignment="1" applyProtection="1">
      <alignment vertical="center"/>
    </xf>
    <xf numFmtId="0" fontId="5" fillId="0" borderId="62" xfId="0" applyFont="1" applyFill="1" applyBorder="1" applyAlignment="1" applyProtection="1">
      <alignment vertical="center"/>
    </xf>
    <xf numFmtId="0" fontId="5" fillId="0" borderId="28" xfId="0" applyFont="1" applyFill="1" applyBorder="1" applyAlignment="1" applyProtection="1">
      <alignment vertical="center"/>
    </xf>
    <xf numFmtId="0" fontId="5" fillId="0" borderId="14" xfId="0" applyFont="1" applyFill="1" applyBorder="1" applyAlignment="1" applyProtection="1">
      <alignment vertical="center"/>
    </xf>
    <xf numFmtId="0" fontId="5" fillId="0" borderId="78" xfId="0" applyFont="1" applyFill="1" applyBorder="1" applyAlignment="1" applyProtection="1">
      <alignment vertical="center"/>
    </xf>
    <xf numFmtId="164" fontId="5" fillId="0" borderId="23" xfId="2" applyNumberFormat="1" applyFont="1" applyFill="1" applyBorder="1" applyAlignment="1" applyProtection="1">
      <alignment vertical="center"/>
    </xf>
    <xf numFmtId="164" fontId="5" fillId="0" borderId="78" xfId="2" applyNumberFormat="1" applyFont="1" applyFill="1" applyBorder="1" applyAlignment="1" applyProtection="1">
      <alignment vertical="center"/>
    </xf>
    <xf numFmtId="164" fontId="5" fillId="0" borderId="55" xfId="2" applyNumberFormat="1" applyFont="1" applyFill="1" applyBorder="1" applyAlignment="1" applyProtection="1">
      <alignment vertical="center"/>
    </xf>
    <xf numFmtId="164" fontId="5" fillId="0" borderId="29" xfId="2" applyNumberFormat="1" applyFont="1" applyFill="1" applyBorder="1" applyAlignment="1" applyProtection="1">
      <alignment vertical="center"/>
    </xf>
    <xf numFmtId="164" fontId="5" fillId="0" borderId="62" xfId="2" applyNumberFormat="1" applyFont="1" applyFill="1" applyBorder="1" applyAlignment="1" applyProtection="1">
      <alignment vertical="center"/>
    </xf>
    <xf numFmtId="164" fontId="5" fillId="0" borderId="32" xfId="2" applyNumberFormat="1" applyFont="1" applyFill="1" applyBorder="1" applyAlignment="1" applyProtection="1">
      <alignment vertical="center"/>
    </xf>
    <xf numFmtId="164" fontId="5" fillId="0" borderId="12" xfId="2" applyNumberFormat="1" applyFont="1" applyFill="1" applyBorder="1" applyAlignment="1" applyProtection="1">
      <alignment vertical="center"/>
    </xf>
    <xf numFmtId="164" fontId="5" fillId="0" borderId="75" xfId="2" applyNumberFormat="1" applyFont="1" applyFill="1" applyBorder="1" applyAlignment="1" applyProtection="1">
      <alignment vertical="center"/>
    </xf>
    <xf numFmtId="164" fontId="5" fillId="0" borderId="13" xfId="2" applyNumberFormat="1" applyFont="1" applyFill="1" applyBorder="1" applyAlignment="1" applyProtection="1">
      <alignment vertical="center"/>
    </xf>
    <xf numFmtId="164" fontId="5" fillId="0" borderId="14" xfId="2" applyNumberFormat="1" applyFont="1" applyFill="1" applyBorder="1" applyAlignment="1" applyProtection="1">
      <alignment vertical="center"/>
    </xf>
    <xf numFmtId="164" fontId="5" fillId="0" borderId="61" xfId="2" applyNumberFormat="1" applyFont="1" applyFill="1" applyBorder="1" applyAlignment="1" applyProtection="1">
      <alignment vertical="center"/>
    </xf>
    <xf numFmtId="164" fontId="5" fillId="0" borderId="9" xfId="2" applyNumberFormat="1" applyFont="1" applyFill="1" applyBorder="1" applyAlignment="1" applyProtection="1">
      <alignment vertical="center"/>
    </xf>
    <xf numFmtId="164" fontId="5" fillId="0" borderId="30" xfId="2" applyNumberFormat="1" applyFont="1" applyFill="1" applyBorder="1" applyAlignment="1" applyProtection="1">
      <alignment vertical="center"/>
    </xf>
    <xf numFmtId="164" fontId="5" fillId="0" borderId="15" xfId="2" applyNumberFormat="1" applyFont="1" applyFill="1" applyBorder="1" applyAlignment="1" applyProtection="1">
      <alignment vertical="center"/>
    </xf>
    <xf numFmtId="164" fontId="5" fillId="0" borderId="17" xfId="2" applyNumberFormat="1" applyFont="1" applyFill="1" applyBorder="1" applyAlignment="1" applyProtection="1">
      <alignment vertical="center"/>
    </xf>
    <xf numFmtId="164" fontId="5" fillId="0" borderId="19" xfId="2" applyNumberFormat="1" applyFont="1" applyFill="1" applyBorder="1" applyAlignment="1" applyProtection="1">
      <alignment vertical="center"/>
    </xf>
    <xf numFmtId="164" fontId="5" fillId="0" borderId="8" xfId="2" applyNumberFormat="1" applyFont="1" applyFill="1" applyBorder="1" applyAlignment="1" applyProtection="1">
      <alignment vertical="center"/>
    </xf>
    <xf numFmtId="164" fontId="5" fillId="0" borderId="70" xfId="2" applyNumberFormat="1" applyFont="1" applyFill="1" applyBorder="1" applyAlignment="1" applyProtection="1">
      <alignment vertical="center"/>
    </xf>
    <xf numFmtId="164" fontId="4" fillId="0" borderId="1" xfId="1" applyNumberFormat="1" applyFont="1" applyBorder="1" applyProtection="1"/>
    <xf numFmtId="164" fontId="4" fillId="0" borderId="52" xfId="1" applyNumberFormat="1" applyFont="1" applyBorder="1" applyProtection="1"/>
    <xf numFmtId="164" fontId="4" fillId="0" borderId="3" xfId="1" applyNumberFormat="1" applyFont="1" applyBorder="1" applyProtection="1"/>
    <xf numFmtId="164" fontId="4" fillId="0" borderId="50" xfId="1" applyNumberFormat="1" applyFont="1" applyBorder="1" applyProtection="1"/>
    <xf numFmtId="164" fontId="4" fillId="0" borderId="2" xfId="1" applyNumberFormat="1" applyFont="1" applyBorder="1" applyProtection="1"/>
    <xf numFmtId="164" fontId="4" fillId="0" borderId="0" xfId="0" applyNumberFormat="1" applyFont="1" applyProtection="1"/>
    <xf numFmtId="164" fontId="17" fillId="0" borderId="0" xfId="1" applyNumberFormat="1" applyFont="1" applyFill="1" applyAlignment="1" applyProtection="1">
      <alignment vertical="center"/>
    </xf>
    <xf numFmtId="0" fontId="18" fillId="0" borderId="67" xfId="0" applyFont="1" applyFill="1" applyBorder="1" applyAlignment="1" applyProtection="1">
      <alignment horizontal="left" vertical="center"/>
    </xf>
    <xf numFmtId="0" fontId="10" fillId="0" borderId="79" xfId="0" applyFont="1" applyFill="1" applyBorder="1" applyAlignment="1" applyProtection="1">
      <alignment vertical="center"/>
    </xf>
    <xf numFmtId="43" fontId="10" fillId="0" borderId="79" xfId="0" applyNumberFormat="1" applyFont="1" applyFill="1" applyBorder="1" applyAlignment="1" applyProtection="1">
      <alignment vertical="center"/>
    </xf>
    <xf numFmtId="164" fontId="10" fillId="0" borderId="80" xfId="1" applyNumberFormat="1" applyFont="1" applyFill="1" applyBorder="1" applyAlignment="1" applyProtection="1">
      <alignment vertical="center"/>
    </xf>
    <xf numFmtId="164" fontId="10" fillId="0" borderId="100" xfId="1" applyNumberFormat="1" applyFont="1" applyFill="1" applyBorder="1" applyAlignment="1" applyProtection="1">
      <alignment vertical="center"/>
    </xf>
    <xf numFmtId="164" fontId="10" fillId="0" borderId="81" xfId="1" applyNumberFormat="1" applyFont="1" applyFill="1" applyBorder="1" applyAlignment="1" applyProtection="1">
      <alignment vertical="center"/>
    </xf>
    <xf numFmtId="164" fontId="10" fillId="0" borderId="101" xfId="1" applyNumberFormat="1" applyFont="1" applyFill="1" applyBorder="1" applyAlignment="1" applyProtection="1">
      <alignment vertical="center"/>
    </xf>
    <xf numFmtId="164" fontId="10" fillId="0" borderId="102" xfId="1" applyNumberFormat="1" applyFont="1" applyFill="1" applyBorder="1" applyAlignment="1" applyProtection="1">
      <alignment vertical="center"/>
    </xf>
    <xf numFmtId="0" fontId="10" fillId="0" borderId="99" xfId="0" applyFont="1" applyFill="1" applyBorder="1" applyAlignment="1" applyProtection="1">
      <alignment horizontal="left" vertical="center"/>
    </xf>
    <xf numFmtId="0" fontId="10" fillId="0" borderId="103" xfId="0" applyFont="1" applyFill="1" applyBorder="1" applyAlignment="1" applyProtection="1">
      <alignment horizontal="left" vertical="center"/>
    </xf>
    <xf numFmtId="0" fontId="5" fillId="0" borderId="14" xfId="0" applyFont="1" applyBorder="1"/>
    <xf numFmtId="0" fontId="5" fillId="0" borderId="29" xfId="0" applyFont="1" applyBorder="1"/>
    <xf numFmtId="0" fontId="5" fillId="6" borderId="14" xfId="0" applyFont="1" applyFill="1" applyBorder="1"/>
    <xf numFmtId="164" fontId="5" fillId="5" borderId="28" xfId="2" applyNumberFormat="1" applyFont="1" applyFill="1" applyBorder="1" applyAlignment="1" applyProtection="1">
      <alignment vertical="center"/>
    </xf>
    <xf numFmtId="0" fontId="5" fillId="0" borderId="32" xfId="0" applyFont="1" applyBorder="1"/>
    <xf numFmtId="0" fontId="5" fillId="6" borderId="9" xfId="0" applyFont="1" applyFill="1" applyBorder="1"/>
    <xf numFmtId="0" fontId="5" fillId="0" borderId="62" xfId="0" applyFont="1" applyBorder="1"/>
    <xf numFmtId="0" fontId="5" fillId="6" borderId="61" xfId="0" applyFont="1" applyFill="1" applyBorder="1"/>
    <xf numFmtId="164" fontId="5" fillId="5" borderId="60" xfId="2" applyNumberFormat="1" applyFont="1" applyFill="1" applyBorder="1" applyAlignment="1" applyProtection="1">
      <alignment vertical="center"/>
    </xf>
    <xf numFmtId="0" fontId="5" fillId="0" borderId="53" xfId="0" applyFont="1" applyBorder="1"/>
    <xf numFmtId="0" fontId="5" fillId="0" borderId="65" xfId="0" applyFont="1" applyBorder="1"/>
    <xf numFmtId="0" fontId="5" fillId="6" borderId="64" xfId="0" applyFont="1" applyFill="1" applyBorder="1"/>
    <xf numFmtId="164" fontId="5" fillId="5" borderId="63" xfId="2" applyNumberFormat="1" applyFont="1" applyFill="1" applyBorder="1" applyAlignment="1" applyProtection="1">
      <alignment vertical="center"/>
    </xf>
    <xf numFmtId="0" fontId="5" fillId="0" borderId="8" xfId="0" applyFont="1" applyBorder="1"/>
    <xf numFmtId="0" fontId="5" fillId="6" borderId="28" xfId="0" applyFont="1" applyFill="1" applyBorder="1"/>
    <xf numFmtId="0" fontId="5" fillId="0" borderId="54" xfId="0" applyFont="1" applyBorder="1" applyAlignment="1">
      <alignment horizontal="center"/>
    </xf>
    <xf numFmtId="0" fontId="5" fillId="0" borderId="57" xfId="0" applyFont="1" applyBorder="1"/>
    <xf numFmtId="0" fontId="5" fillId="0" borderId="16" xfId="0" applyFont="1" applyBorder="1"/>
    <xf numFmtId="0" fontId="5" fillId="0" borderId="70" xfId="0" applyFont="1" applyBorder="1"/>
    <xf numFmtId="0" fontId="5" fillId="0" borderId="37" xfId="0" applyFont="1" applyBorder="1"/>
    <xf numFmtId="0" fontId="5" fillId="0" borderId="27" xfId="0" applyFont="1" applyBorder="1" applyAlignment="1">
      <alignment horizontal="center"/>
    </xf>
    <xf numFmtId="0" fontId="5" fillId="0" borderId="71" xfId="0" applyFont="1" applyBorder="1"/>
    <xf numFmtId="0" fontId="5" fillId="6" borderId="65" xfId="0" applyFont="1" applyFill="1" applyBorder="1"/>
    <xf numFmtId="164" fontId="5" fillId="5" borderId="14" xfId="2" applyNumberFormat="1" applyFont="1" applyFill="1" applyBorder="1" applyAlignment="1" applyProtection="1">
      <alignment vertical="center"/>
    </xf>
    <xf numFmtId="164" fontId="5" fillId="5" borderId="29" xfId="2" applyNumberFormat="1" applyFont="1" applyFill="1" applyBorder="1" applyAlignment="1" applyProtection="1">
      <alignment vertical="center"/>
    </xf>
    <xf numFmtId="164" fontId="5" fillId="5" borderId="61" xfId="2" applyNumberFormat="1" applyFont="1" applyFill="1" applyBorder="1" applyAlignment="1" applyProtection="1">
      <alignment vertical="center"/>
    </xf>
    <xf numFmtId="164" fontId="5" fillId="5" borderId="62" xfId="2" applyNumberFormat="1" applyFont="1" applyFill="1" applyBorder="1" applyAlignment="1" applyProtection="1">
      <alignment vertical="center"/>
    </xf>
    <xf numFmtId="164" fontId="5" fillId="5" borderId="9" xfId="2" applyNumberFormat="1" applyFont="1" applyFill="1" applyBorder="1" applyAlignment="1" applyProtection="1">
      <alignment vertical="center"/>
    </xf>
    <xf numFmtId="164" fontId="5" fillId="5" borderId="32" xfId="2" applyNumberFormat="1" applyFont="1" applyFill="1" applyBorder="1" applyAlignment="1" applyProtection="1">
      <alignment vertical="center"/>
    </xf>
    <xf numFmtId="0" fontId="5" fillId="0" borderId="104" xfId="0" applyFont="1" applyBorder="1" applyAlignment="1">
      <alignment horizontal="center"/>
    </xf>
    <xf numFmtId="0" fontId="5" fillId="0" borderId="105" xfId="0" applyFont="1" applyBorder="1" applyAlignment="1">
      <alignment horizontal="center"/>
    </xf>
    <xf numFmtId="164" fontId="5" fillId="5" borderId="64" xfId="2" applyNumberFormat="1" applyFont="1" applyFill="1" applyBorder="1" applyAlignment="1" applyProtection="1">
      <alignment vertical="center"/>
    </xf>
    <xf numFmtId="164" fontId="5" fillId="5" borderId="65" xfId="2" applyNumberFormat="1" applyFont="1" applyFill="1" applyBorder="1" applyAlignment="1" applyProtection="1">
      <alignment vertical="center"/>
    </xf>
    <xf numFmtId="0" fontId="5" fillId="0" borderId="61" xfId="0" applyFont="1" applyFill="1" applyBorder="1"/>
    <xf numFmtId="0" fontId="5" fillId="0" borderId="67" xfId="0" applyFont="1" applyFill="1" applyBorder="1"/>
    <xf numFmtId="0" fontId="5" fillId="0" borderId="60" xfId="0" applyFont="1" applyFill="1" applyBorder="1"/>
    <xf numFmtId="0" fontId="5" fillId="0" borderId="28" xfId="0" applyFont="1" applyFill="1" applyBorder="1"/>
    <xf numFmtId="0" fontId="5" fillId="0" borderId="42" xfId="0" applyFont="1" applyFill="1" applyBorder="1"/>
    <xf numFmtId="0" fontId="5" fillId="0" borderId="31" xfId="0" applyFont="1" applyFill="1" applyBorder="1"/>
    <xf numFmtId="0" fontId="5" fillId="0" borderId="49" xfId="0" applyFont="1" applyFill="1" applyBorder="1"/>
    <xf numFmtId="0" fontId="5" fillId="0" borderId="0" xfId="0" applyFont="1" applyFill="1" applyBorder="1"/>
    <xf numFmtId="43" fontId="5" fillId="0" borderId="53" xfId="1" applyFont="1" applyBorder="1" applyAlignment="1">
      <alignment horizontal="right"/>
    </xf>
    <xf numFmtId="43" fontId="5" fillId="0" borderId="14" xfId="1" applyFont="1" applyBorder="1" applyAlignment="1">
      <alignment horizontal="right"/>
    </xf>
    <xf numFmtId="43" fontId="5" fillId="0" borderId="42" xfId="1" applyFont="1" applyBorder="1" applyAlignment="1">
      <alignment horizontal="right"/>
    </xf>
    <xf numFmtId="43" fontId="5" fillId="0" borderId="28" xfId="1" applyFont="1" applyBorder="1" applyAlignment="1">
      <alignment horizontal="right"/>
    </xf>
    <xf numFmtId="43" fontId="5" fillId="0" borderId="29" xfId="1" applyFont="1" applyBorder="1" applyAlignment="1">
      <alignment horizontal="right"/>
    </xf>
    <xf numFmtId="43" fontId="5" fillId="0" borderId="12" xfId="1" applyFont="1" applyBorder="1" applyAlignment="1">
      <alignment horizontal="right" vertical="center"/>
    </xf>
    <xf numFmtId="43" fontId="5" fillId="0" borderId="37" xfId="1" applyFont="1" applyBorder="1" applyAlignment="1">
      <alignment horizontal="right"/>
    </xf>
    <xf numFmtId="43" fontId="5" fillId="0" borderId="9" xfId="1" applyFont="1" applyBorder="1" applyAlignment="1">
      <alignment horizontal="right"/>
    </xf>
    <xf numFmtId="43" fontId="5" fillId="0" borderId="49" xfId="1" applyFont="1" applyBorder="1" applyAlignment="1">
      <alignment horizontal="right"/>
    </xf>
    <xf numFmtId="43" fontId="5" fillId="0" borderId="31" xfId="1" applyFont="1" applyBorder="1" applyAlignment="1">
      <alignment horizontal="right"/>
    </xf>
    <xf numFmtId="43" fontId="5" fillId="0" borderId="32" xfId="1" applyFont="1" applyBorder="1" applyAlignment="1">
      <alignment horizontal="right"/>
    </xf>
    <xf numFmtId="43" fontId="5" fillId="0" borderId="13" xfId="1" applyFont="1" applyBorder="1" applyAlignment="1">
      <alignment horizontal="right" vertical="center"/>
    </xf>
    <xf numFmtId="164" fontId="5" fillId="0" borderId="60" xfId="1" applyNumberFormat="1" applyFont="1" applyBorder="1" applyAlignment="1">
      <alignment horizontal="right" vertical="top"/>
    </xf>
    <xf numFmtId="164" fontId="5" fillId="0" borderId="61" xfId="1" applyNumberFormat="1" applyFont="1" applyBorder="1" applyAlignment="1">
      <alignment horizontal="right" vertical="top"/>
    </xf>
    <xf numFmtId="164" fontId="5" fillId="0" borderId="62" xfId="1" applyNumberFormat="1" applyFont="1" applyBorder="1" applyAlignment="1">
      <alignment horizontal="right" vertical="top"/>
    </xf>
    <xf numFmtId="43" fontId="5" fillId="0" borderId="70" xfId="1" applyFont="1" applyBorder="1" applyAlignment="1">
      <alignment horizontal="right"/>
    </xf>
    <xf numFmtId="43" fontId="5" fillId="0" borderId="61" xfId="1" applyFont="1" applyBorder="1" applyAlignment="1">
      <alignment horizontal="right"/>
    </xf>
    <xf numFmtId="43" fontId="5" fillId="0" borderId="67" xfId="1" applyFont="1" applyBorder="1" applyAlignment="1">
      <alignment horizontal="right"/>
    </xf>
    <xf numFmtId="43" fontId="5" fillId="0" borderId="60" xfId="1" applyFont="1" applyBorder="1" applyAlignment="1">
      <alignment horizontal="right"/>
    </xf>
    <xf numFmtId="43" fontId="5" fillId="0" borderId="62" xfId="1" applyFont="1" applyBorder="1" applyAlignment="1">
      <alignment horizontal="right"/>
    </xf>
    <xf numFmtId="43" fontId="5" fillId="0" borderId="75" xfId="1" applyFont="1" applyBorder="1" applyAlignment="1">
      <alignment horizontal="right" vertical="center"/>
    </xf>
    <xf numFmtId="164" fontId="5" fillId="0" borderId="64" xfId="1" applyNumberFormat="1" applyFont="1" applyBorder="1" applyAlignment="1">
      <alignment horizontal="right" vertical="top"/>
    </xf>
    <xf numFmtId="164" fontId="5" fillId="0" borderId="65" xfId="1" applyNumberFormat="1" applyFont="1" applyBorder="1" applyAlignment="1">
      <alignment horizontal="right" vertical="top"/>
    </xf>
    <xf numFmtId="43" fontId="5" fillId="0" borderId="64" xfId="1" applyFont="1" applyBorder="1" applyAlignment="1">
      <alignment horizontal="right"/>
    </xf>
    <xf numFmtId="164" fontId="4" fillId="0" borderId="16" xfId="1" applyNumberFormat="1" applyFont="1" applyBorder="1" applyAlignment="1">
      <alignment horizontal="center" vertical="center"/>
    </xf>
    <xf numFmtId="164" fontId="5" fillId="0" borderId="70" xfId="1" applyNumberFormat="1" applyFont="1" applyBorder="1" applyAlignment="1">
      <alignment horizontal="right" vertical="top"/>
    </xf>
    <xf numFmtId="164" fontId="5" fillId="0" borderId="71" xfId="1" applyNumberFormat="1" applyFont="1" applyBorder="1" applyAlignment="1">
      <alignment horizontal="right" vertical="top"/>
    </xf>
    <xf numFmtId="43" fontId="5" fillId="0" borderId="63" xfId="1" applyFont="1" applyBorder="1" applyAlignment="1">
      <alignment horizontal="right"/>
    </xf>
    <xf numFmtId="43" fontId="5" fillId="0" borderId="65" xfId="1" applyFont="1" applyBorder="1" applyAlignment="1">
      <alignment horizontal="right"/>
    </xf>
    <xf numFmtId="43" fontId="5" fillId="0" borderId="76" xfId="1" applyFont="1" applyBorder="1" applyAlignment="1">
      <alignment horizontal="right" vertical="center"/>
    </xf>
    <xf numFmtId="164" fontId="4" fillId="4" borderId="1" xfId="1" applyNumberFormat="1" applyFont="1" applyFill="1" applyBorder="1" applyAlignment="1">
      <alignment horizontal="right"/>
    </xf>
    <xf numFmtId="43" fontId="4" fillId="4" borderId="1" xfId="1" applyFont="1" applyFill="1" applyBorder="1" applyAlignment="1">
      <alignment horizontal="right"/>
    </xf>
    <xf numFmtId="164" fontId="22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left"/>
    </xf>
    <xf numFmtId="164" fontId="4" fillId="0" borderId="1" xfId="1" applyNumberFormat="1" applyFont="1" applyBorder="1"/>
    <xf numFmtId="43" fontId="5" fillId="0" borderId="73" xfId="1" applyFont="1" applyBorder="1" applyAlignment="1">
      <alignment horizontal="right" vertical="center"/>
    </xf>
    <xf numFmtId="0" fontId="10" fillId="0" borderId="65" xfId="0" applyFont="1" applyFill="1" applyBorder="1" applyAlignment="1" applyProtection="1">
      <alignment horizontal="left" vertical="center"/>
    </xf>
    <xf numFmtId="0" fontId="5" fillId="0" borderId="63" xfId="0" applyFont="1" applyFill="1" applyBorder="1"/>
    <xf numFmtId="164" fontId="5" fillId="0" borderId="0" xfId="1" applyNumberFormat="1" applyFont="1" applyFill="1" applyBorder="1" applyAlignment="1">
      <alignment horizontal="right"/>
    </xf>
    <xf numFmtId="0" fontId="5" fillId="0" borderId="29" xfId="0" applyFont="1" applyFill="1" applyBorder="1"/>
    <xf numFmtId="0" fontId="5" fillId="0" borderId="62" xfId="0" applyFont="1" applyFill="1" applyBorder="1"/>
    <xf numFmtId="164" fontId="5" fillId="0" borderId="0" xfId="1" applyNumberFormat="1" applyFont="1" applyFill="1" applyAlignment="1">
      <alignment horizontal="right"/>
    </xf>
    <xf numFmtId="164" fontId="5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right"/>
    </xf>
    <xf numFmtId="164" fontId="10" fillId="0" borderId="11" xfId="1" applyNumberFormat="1" applyFont="1" applyFill="1" applyBorder="1" applyAlignment="1" applyProtection="1">
      <alignment vertical="center"/>
    </xf>
    <xf numFmtId="164" fontId="13" fillId="0" borderId="8" xfId="1" applyNumberFormat="1" applyFont="1" applyFill="1" applyBorder="1"/>
    <xf numFmtId="165" fontId="4" fillId="0" borderId="0" xfId="1" applyNumberFormat="1" applyFont="1" applyAlignment="1">
      <alignment horizontal="right"/>
    </xf>
    <xf numFmtId="164" fontId="4" fillId="0" borderId="12" xfId="1" applyNumberFormat="1" applyFont="1" applyBorder="1" applyAlignment="1">
      <alignment horizontal="right"/>
    </xf>
    <xf numFmtId="43" fontId="5" fillId="0" borderId="18" xfId="1" applyFont="1" applyFill="1" applyBorder="1" applyAlignment="1" applyProtection="1">
      <alignment vertical="center"/>
    </xf>
    <xf numFmtId="43" fontId="5" fillId="0" borderId="75" xfId="1" applyFont="1" applyFill="1" applyBorder="1" applyAlignment="1" applyProtection="1">
      <alignment vertical="center"/>
    </xf>
    <xf numFmtId="43" fontId="5" fillId="0" borderId="13" xfId="1" applyFont="1" applyFill="1" applyBorder="1" applyAlignment="1" applyProtection="1">
      <alignment vertical="center"/>
    </xf>
    <xf numFmtId="43" fontId="5" fillId="0" borderId="61" xfId="1" applyFont="1" applyFill="1" applyBorder="1" applyAlignment="1" applyProtection="1">
      <alignment vertical="center"/>
    </xf>
    <xf numFmtId="43" fontId="5" fillId="0" borderId="60" xfId="1" applyFont="1" applyFill="1" applyBorder="1" applyAlignment="1" applyProtection="1">
      <alignment vertical="center"/>
    </xf>
    <xf numFmtId="43" fontId="5" fillId="0" borderId="62" xfId="1" applyFont="1" applyFill="1" applyBorder="1" applyAlignment="1" applyProtection="1">
      <alignment vertical="center"/>
    </xf>
    <xf numFmtId="43" fontId="5" fillId="0" borderId="9" xfId="1" applyFont="1" applyFill="1" applyBorder="1" applyAlignment="1" applyProtection="1">
      <alignment vertical="center"/>
    </xf>
    <xf numFmtId="43" fontId="5" fillId="0" borderId="15" xfId="1" applyFont="1" applyFill="1" applyBorder="1" applyAlignment="1" applyProtection="1">
      <alignment vertical="center"/>
    </xf>
    <xf numFmtId="165" fontId="5" fillId="0" borderId="75" xfId="1" applyNumberFormat="1" applyFont="1" applyFill="1" applyBorder="1" applyAlignment="1" applyProtection="1">
      <alignment vertical="center"/>
    </xf>
    <xf numFmtId="43" fontId="5" fillId="0" borderId="31" xfId="1" applyFont="1" applyFill="1" applyBorder="1" applyAlignment="1" applyProtection="1">
      <alignment vertical="center"/>
    </xf>
    <xf numFmtId="43" fontId="5" fillId="0" borderId="30" xfId="1" applyFont="1" applyFill="1" applyBorder="1" applyAlignment="1" applyProtection="1">
      <alignment vertical="center"/>
    </xf>
    <xf numFmtId="43" fontId="5" fillId="0" borderId="24" xfId="1" applyFont="1" applyFill="1" applyBorder="1" applyAlignment="1" applyProtection="1">
      <alignment vertical="center"/>
    </xf>
    <xf numFmtId="43" fontId="5" fillId="0" borderId="29" xfId="1" applyFont="1" applyFill="1" applyBorder="1" applyAlignment="1" applyProtection="1">
      <alignment vertical="center"/>
    </xf>
    <xf numFmtId="43" fontId="5" fillId="0" borderId="14" xfId="1" applyFont="1" applyFill="1" applyBorder="1" applyAlignment="1" applyProtection="1">
      <alignment vertical="center"/>
    </xf>
    <xf numFmtId="43" fontId="5" fillId="0" borderId="12" xfId="1" applyFont="1" applyFill="1" applyBorder="1" applyAlignment="1" applyProtection="1">
      <alignment vertical="center"/>
    </xf>
    <xf numFmtId="43" fontId="5" fillId="0" borderId="28" xfId="1" applyFont="1" applyFill="1" applyBorder="1" applyAlignment="1" applyProtection="1">
      <alignment vertical="center"/>
    </xf>
    <xf numFmtId="43" fontId="5" fillId="0" borderId="77" xfId="1" applyFont="1" applyFill="1" applyBorder="1" applyAlignment="1" applyProtection="1">
      <alignment vertical="center"/>
    </xf>
    <xf numFmtId="43" fontId="5" fillId="6" borderId="62" xfId="1" applyFont="1" applyFill="1" applyBorder="1"/>
    <xf numFmtId="43" fontId="5" fillId="6" borderId="30" xfId="1" applyFont="1" applyFill="1" applyBorder="1"/>
    <xf numFmtId="43" fontId="5" fillId="6" borderId="32" xfId="1" applyFont="1" applyFill="1" applyBorder="1"/>
    <xf numFmtId="43" fontId="5" fillId="0" borderId="60" xfId="1" applyFont="1" applyFill="1" applyBorder="1"/>
    <xf numFmtId="43" fontId="5" fillId="0" borderId="67" xfId="1" applyFont="1" applyFill="1" applyBorder="1"/>
    <xf numFmtId="43" fontId="5" fillId="6" borderId="29" xfId="1" applyFont="1" applyFill="1" applyBorder="1"/>
    <xf numFmtId="0" fontId="12" fillId="0" borderId="0" xfId="0" applyFont="1" applyAlignment="1">
      <alignment horizontal="center" vertical="center"/>
    </xf>
    <xf numFmtId="164" fontId="5" fillId="0" borderId="61" xfId="1" applyNumberFormat="1" applyFont="1" applyFill="1" applyBorder="1" applyAlignment="1" applyProtection="1">
      <alignment vertical="center"/>
    </xf>
    <xf numFmtId="164" fontId="5" fillId="0" borderId="75" xfId="1" applyNumberFormat="1" applyFont="1" applyFill="1" applyBorder="1" applyAlignment="1" applyProtection="1">
      <alignment vertical="center"/>
    </xf>
    <xf numFmtId="164" fontId="5" fillId="0" borderId="0" xfId="0" applyNumberFormat="1" applyFont="1" applyFill="1" applyAlignment="1" applyProtection="1">
      <alignment vertical="center"/>
    </xf>
    <xf numFmtId="164" fontId="5" fillId="0" borderId="5" xfId="1" applyNumberFormat="1" applyFont="1" applyFill="1" applyBorder="1" applyAlignment="1" applyProtection="1">
      <alignment vertical="center"/>
    </xf>
    <xf numFmtId="164" fontId="5" fillId="0" borderId="0" xfId="1" applyNumberFormat="1" applyFont="1" applyFill="1" applyBorder="1" applyAlignment="1" applyProtection="1">
      <alignment vertical="center"/>
    </xf>
    <xf numFmtId="164" fontId="5" fillId="0" borderId="3" xfId="1" applyNumberFormat="1" applyFont="1" applyFill="1" applyBorder="1" applyAlignment="1" applyProtection="1">
      <alignment vertical="center"/>
    </xf>
    <xf numFmtId="164" fontId="5" fillId="0" borderId="4" xfId="1" applyNumberFormat="1" applyFont="1" applyFill="1" applyBorder="1" applyAlignment="1" applyProtection="1">
      <alignment vertical="center"/>
    </xf>
    <xf numFmtId="164" fontId="5" fillId="0" borderId="62" xfId="1" applyNumberFormat="1" applyFont="1" applyFill="1" applyBorder="1" applyAlignment="1" applyProtection="1">
      <alignment vertical="center"/>
    </xf>
    <xf numFmtId="1" fontId="5" fillId="0" borderId="60" xfId="0" applyNumberFormat="1" applyFont="1" applyFill="1" applyBorder="1" applyAlignment="1" applyProtection="1">
      <alignment vertical="center"/>
    </xf>
    <xf numFmtId="1" fontId="5" fillId="0" borderId="60" xfId="1" applyNumberFormat="1" applyFont="1" applyFill="1" applyBorder="1" applyAlignment="1" applyProtection="1">
      <alignment vertical="center"/>
    </xf>
    <xf numFmtId="1" fontId="5" fillId="0" borderId="61" xfId="1" applyNumberFormat="1" applyFont="1" applyFill="1" applyBorder="1" applyAlignment="1" applyProtection="1">
      <alignment vertical="center"/>
    </xf>
    <xf numFmtId="43" fontId="17" fillId="4" borderId="47" xfId="1" applyFont="1" applyFill="1" applyBorder="1"/>
    <xf numFmtId="164" fontId="17" fillId="0" borderId="0" xfId="1" applyNumberFormat="1" applyFont="1" applyFill="1"/>
    <xf numFmtId="164" fontId="17" fillId="4" borderId="47" xfId="1" applyNumberFormat="1" applyFont="1" applyFill="1" applyBorder="1"/>
    <xf numFmtId="0" fontId="5" fillId="0" borderId="73" xfId="0" applyFont="1" applyFill="1" applyBorder="1" applyAlignment="1" applyProtection="1">
      <alignment vertical="center"/>
    </xf>
    <xf numFmtId="0" fontId="5" fillId="0" borderId="63" xfId="0" applyFont="1" applyFill="1" applyBorder="1" applyAlignment="1" applyProtection="1">
      <alignment vertical="center"/>
    </xf>
    <xf numFmtId="43" fontId="5" fillId="0" borderId="76" xfId="1" applyFont="1" applyFill="1" applyBorder="1" applyAlignment="1" applyProtection="1">
      <alignment vertical="center"/>
    </xf>
    <xf numFmtId="1" fontId="5" fillId="0" borderId="64" xfId="1" applyNumberFormat="1" applyFont="1" applyFill="1" applyBorder="1" applyAlignment="1" applyProtection="1">
      <alignment vertical="center"/>
    </xf>
    <xf numFmtId="1" fontId="5" fillId="0" borderId="65" xfId="0" applyNumberFormat="1" applyFont="1" applyFill="1" applyBorder="1" applyAlignment="1" applyProtection="1">
      <alignment vertical="center"/>
    </xf>
    <xf numFmtId="164" fontId="5" fillId="0" borderId="63" xfId="2" applyNumberFormat="1" applyFont="1" applyFill="1" applyBorder="1" applyAlignment="1" applyProtection="1">
      <alignment vertical="center"/>
    </xf>
    <xf numFmtId="164" fontId="5" fillId="0" borderId="71" xfId="2" applyNumberFormat="1" applyFont="1" applyFill="1" applyBorder="1" applyAlignment="1" applyProtection="1">
      <alignment vertical="center"/>
    </xf>
    <xf numFmtId="164" fontId="5" fillId="0" borderId="108" xfId="2" applyNumberFormat="1" applyFont="1" applyFill="1" applyBorder="1" applyAlignment="1" applyProtection="1">
      <alignment vertical="center"/>
    </xf>
    <xf numFmtId="164" fontId="5" fillId="0" borderId="64" xfId="2" applyNumberFormat="1" applyFont="1" applyFill="1" applyBorder="1" applyAlignment="1" applyProtection="1">
      <alignment vertical="center"/>
    </xf>
    <xf numFmtId="164" fontId="5" fillId="0" borderId="76" xfId="2" applyNumberFormat="1" applyFont="1" applyFill="1" applyBorder="1" applyAlignment="1" applyProtection="1">
      <alignment vertical="center"/>
    </xf>
    <xf numFmtId="1" fontId="5" fillId="0" borderId="75" xfId="1" applyNumberFormat="1" applyFont="1" applyFill="1" applyBorder="1" applyAlignment="1" applyProtection="1">
      <alignment vertical="center"/>
    </xf>
    <xf numFmtId="1" fontId="5" fillId="0" borderId="62" xfId="1" applyNumberFormat="1" applyFont="1" applyFill="1" applyBorder="1" applyAlignment="1" applyProtection="1">
      <alignment vertical="center"/>
    </xf>
    <xf numFmtId="0" fontId="10" fillId="0" borderId="93" xfId="0" applyFont="1" applyFill="1" applyBorder="1" applyAlignment="1" applyProtection="1">
      <alignment horizontal="left" vertical="center"/>
    </xf>
    <xf numFmtId="1" fontId="5" fillId="0" borderId="12" xfId="1" applyNumberFormat="1" applyFont="1" applyFill="1" applyBorder="1" applyAlignment="1" applyProtection="1">
      <alignment vertical="center"/>
    </xf>
    <xf numFmtId="164" fontId="5" fillId="0" borderId="59" xfId="2" applyNumberFormat="1" applyFont="1" applyFill="1" applyBorder="1" applyAlignment="1" applyProtection="1">
      <alignment vertical="center"/>
    </xf>
    <xf numFmtId="0" fontId="10" fillId="0" borderId="74" xfId="3" applyFont="1" applyFill="1" applyBorder="1" applyAlignment="1" applyProtection="1">
      <alignment horizontal="left" vertical="center"/>
    </xf>
    <xf numFmtId="0" fontId="10" fillId="0" borderId="76" xfId="3" applyFont="1" applyFill="1" applyBorder="1" applyAlignment="1" applyProtection="1">
      <alignment vertical="center"/>
    </xf>
    <xf numFmtId="0" fontId="10" fillId="0" borderId="76" xfId="0" applyFont="1" applyFill="1" applyBorder="1" applyAlignment="1" applyProtection="1">
      <alignment horizontal="left" vertical="center"/>
    </xf>
    <xf numFmtId="43" fontId="10" fillId="0" borderId="73" xfId="0" applyNumberFormat="1" applyFont="1" applyFill="1" applyBorder="1"/>
    <xf numFmtId="43" fontId="5" fillId="0" borderId="0" xfId="0" applyNumberFormat="1" applyFont="1" applyFill="1" applyBorder="1" applyAlignment="1" applyProtection="1">
      <alignment vertical="center"/>
    </xf>
    <xf numFmtId="164" fontId="15" fillId="0" borderId="0" xfId="1" applyNumberFormat="1" applyFont="1" applyFill="1" applyBorder="1" applyAlignment="1" applyProtection="1">
      <alignment vertical="center"/>
    </xf>
    <xf numFmtId="43" fontId="5" fillId="0" borderId="0" xfId="1" applyNumberFormat="1" applyFont="1" applyFill="1" applyBorder="1" applyAlignment="1" applyProtection="1">
      <alignment vertical="center"/>
    </xf>
    <xf numFmtId="0" fontId="5" fillId="0" borderId="57" xfId="0" applyFont="1" applyFill="1" applyBorder="1" applyAlignment="1" applyProtection="1">
      <alignment vertical="center"/>
    </xf>
    <xf numFmtId="43" fontId="5" fillId="0" borderId="59" xfId="1" applyFont="1" applyFill="1" applyBorder="1" applyAlignment="1" applyProtection="1">
      <alignment vertical="center"/>
    </xf>
    <xf numFmtId="43" fontId="5" fillId="0" borderId="0" xfId="1" applyFont="1" applyFill="1" applyBorder="1" applyAlignment="1" applyProtection="1">
      <alignment vertical="center"/>
    </xf>
    <xf numFmtId="164" fontId="5" fillId="0" borderId="29" xfId="1" applyNumberFormat="1" applyFont="1" applyFill="1" applyBorder="1" applyAlignment="1" applyProtection="1">
      <alignment vertical="center"/>
    </xf>
    <xf numFmtId="43" fontId="5" fillId="0" borderId="8" xfId="1" applyFont="1" applyFill="1" applyBorder="1" applyAlignment="1" applyProtection="1">
      <alignment vertical="center"/>
    </xf>
    <xf numFmtId="164" fontId="5" fillId="0" borderId="60" xfId="1" applyNumberFormat="1" applyFont="1" applyFill="1" applyBorder="1" applyAlignment="1" applyProtection="1">
      <alignment vertical="center"/>
    </xf>
    <xf numFmtId="43" fontId="5" fillId="0" borderId="107" xfId="1" applyFont="1" applyFill="1" applyBorder="1" applyAlignment="1" applyProtection="1">
      <alignment vertical="center"/>
    </xf>
    <xf numFmtId="43" fontId="5" fillId="0" borderId="99" xfId="1" applyFont="1" applyFill="1" applyBorder="1" applyAlignment="1" applyProtection="1">
      <alignment vertical="center"/>
    </xf>
    <xf numFmtId="164" fontId="5" fillId="0" borderId="63" xfId="1" applyNumberFormat="1" applyFont="1" applyFill="1" applyBorder="1" applyAlignment="1" applyProtection="1">
      <alignment vertical="center"/>
    </xf>
    <xf numFmtId="43" fontId="5" fillId="0" borderId="65" xfId="1" applyFont="1" applyFill="1" applyBorder="1" applyAlignment="1" applyProtection="1">
      <alignment vertical="center"/>
    </xf>
    <xf numFmtId="43" fontId="5" fillId="0" borderId="93" xfId="1" applyFont="1" applyFill="1" applyBorder="1" applyAlignment="1" applyProtection="1">
      <alignment vertical="center"/>
    </xf>
    <xf numFmtId="164" fontId="5" fillId="0" borderId="64" xfId="1" applyNumberFormat="1" applyFont="1" applyFill="1" applyBorder="1" applyAlignment="1" applyProtection="1">
      <alignment vertical="center"/>
    </xf>
    <xf numFmtId="43" fontId="5" fillId="0" borderId="63" xfId="1" applyFont="1" applyFill="1" applyBorder="1" applyAlignment="1" applyProtection="1">
      <alignment vertical="center"/>
    </xf>
    <xf numFmtId="43" fontId="5" fillId="0" borderId="64" xfId="1" applyFont="1" applyFill="1" applyBorder="1" applyAlignment="1" applyProtection="1">
      <alignment vertical="center"/>
    </xf>
    <xf numFmtId="0" fontId="4" fillId="0" borderId="0" xfId="0" applyFont="1" applyBorder="1"/>
    <xf numFmtId="0" fontId="5" fillId="0" borderId="64" xfId="0" applyFont="1" applyFill="1" applyBorder="1"/>
    <xf numFmtId="43" fontId="5" fillId="0" borderId="28" xfId="1" applyFont="1" applyFill="1" applyBorder="1"/>
    <xf numFmtId="0" fontId="5" fillId="0" borderId="14" xfId="0" applyFont="1" applyFill="1" applyBorder="1"/>
    <xf numFmtId="43" fontId="5" fillId="0" borderId="42" xfId="1" applyFont="1" applyFill="1" applyBorder="1"/>
    <xf numFmtId="43" fontId="5" fillId="0" borderId="31" xfId="1" applyFont="1" applyFill="1" applyBorder="1"/>
    <xf numFmtId="0" fontId="5" fillId="0" borderId="9" xfId="0" applyFont="1" applyFill="1" applyBorder="1"/>
    <xf numFmtId="43" fontId="5" fillId="0" borderId="49" xfId="1" applyFont="1" applyFill="1" applyBorder="1"/>
    <xf numFmtId="0" fontId="5" fillId="0" borderId="32" xfId="0" applyFont="1" applyFill="1" applyBorder="1"/>
    <xf numFmtId="1" fontId="5" fillId="0" borderId="68" xfId="0" applyNumberFormat="1" applyFont="1" applyFill="1" applyBorder="1"/>
    <xf numFmtId="0" fontId="5" fillId="0" borderId="65" xfId="0" applyFont="1" applyFill="1" applyBorder="1"/>
    <xf numFmtId="164" fontId="4" fillId="0" borderId="1" xfId="1" applyNumberFormat="1" applyFont="1" applyBorder="1" applyAlignment="1">
      <alignment horizontal="center" vertical="center"/>
    </xf>
    <xf numFmtId="164" fontId="4" fillId="0" borderId="50" xfId="1" applyNumberFormat="1" applyFont="1" applyBorder="1" applyAlignment="1">
      <alignment horizontal="center" vertical="center"/>
    </xf>
    <xf numFmtId="164" fontId="4" fillId="0" borderId="52" xfId="1" applyNumberFormat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164" fontId="4" fillId="0" borderId="75" xfId="1" applyNumberFormat="1" applyFont="1" applyBorder="1" applyAlignment="1">
      <alignment horizontal="right"/>
    </xf>
    <xf numFmtId="164" fontId="4" fillId="0" borderId="13" xfId="1" applyNumberFormat="1" applyFont="1" applyBorder="1" applyAlignment="1">
      <alignment horizontal="right"/>
    </xf>
    <xf numFmtId="164" fontId="5" fillId="0" borderId="17" xfId="1" applyNumberFormat="1" applyFont="1" applyBorder="1" applyAlignment="1">
      <alignment horizontal="left"/>
    </xf>
    <xf numFmtId="164" fontId="5" fillId="0" borderId="78" xfId="1" applyNumberFormat="1" applyFont="1" applyBorder="1" applyAlignment="1">
      <alignment horizontal="left"/>
    </xf>
    <xf numFmtId="164" fontId="5" fillId="0" borderId="78" xfId="1" applyNumberFormat="1" applyFont="1" applyFill="1" applyBorder="1" applyAlignment="1">
      <alignment horizontal="left"/>
    </xf>
    <xf numFmtId="164" fontId="5" fillId="0" borderId="19" xfId="1" applyNumberFormat="1" applyFont="1" applyFill="1" applyBorder="1" applyAlignment="1">
      <alignment horizontal="left"/>
    </xf>
    <xf numFmtId="164" fontId="5" fillId="0" borderId="6" xfId="1" applyNumberFormat="1" applyFont="1" applyBorder="1" applyAlignment="1">
      <alignment horizontal="left"/>
    </xf>
    <xf numFmtId="164" fontId="5" fillId="0" borderId="56" xfId="1" applyNumberFormat="1" applyFont="1" applyBorder="1" applyAlignment="1">
      <alignment horizontal="left"/>
    </xf>
    <xf numFmtId="164" fontId="5" fillId="0" borderId="56" xfId="1" applyNumberFormat="1" applyFont="1" applyFill="1" applyBorder="1" applyAlignment="1">
      <alignment horizontal="left"/>
    </xf>
    <xf numFmtId="164" fontId="5" fillId="0" borderId="7" xfId="1" applyNumberFormat="1" applyFont="1" applyFill="1" applyBorder="1" applyAlignment="1">
      <alignment horizontal="left"/>
    </xf>
    <xf numFmtId="164" fontId="5" fillId="0" borderId="17" xfId="1" applyNumberFormat="1" applyFont="1" applyFill="1" applyBorder="1" applyAlignment="1">
      <alignment horizontal="left"/>
    </xf>
    <xf numFmtId="0" fontId="5" fillId="0" borderId="17" xfId="0" applyFont="1" applyFill="1" applyBorder="1"/>
    <xf numFmtId="164" fontId="5" fillId="0" borderId="65" xfId="2" applyNumberFormat="1" applyFont="1" applyFill="1" applyBorder="1" applyAlignment="1" applyProtection="1">
      <alignment vertical="center"/>
    </xf>
    <xf numFmtId="0" fontId="5" fillId="0" borderId="23" xfId="0" applyFont="1" applyBorder="1" applyProtection="1"/>
    <xf numFmtId="0" fontId="5" fillId="6" borderId="0" xfId="0" applyFont="1" applyFill="1" applyAlignment="1" applyProtection="1">
      <alignment vertical="center"/>
    </xf>
    <xf numFmtId="0" fontId="5" fillId="0" borderId="79" xfId="0" applyFont="1" applyFill="1" applyBorder="1" applyAlignment="1" applyProtection="1">
      <alignment vertical="center"/>
    </xf>
    <xf numFmtId="0" fontId="5" fillId="6" borderId="6" xfId="0" applyFont="1" applyFill="1" applyBorder="1" applyAlignment="1" applyProtection="1">
      <alignment vertical="center"/>
    </xf>
    <xf numFmtId="43" fontId="5" fillId="6" borderId="18" xfId="1" applyFont="1" applyFill="1" applyBorder="1" applyAlignment="1" applyProtection="1">
      <alignment vertical="center"/>
    </xf>
    <xf numFmtId="164" fontId="5" fillId="6" borderId="29" xfId="2" applyNumberFormat="1" applyFont="1" applyFill="1" applyBorder="1" applyAlignment="1" applyProtection="1">
      <alignment vertical="center"/>
    </xf>
    <xf numFmtId="164" fontId="5" fillId="6" borderId="62" xfId="2" applyNumberFormat="1" applyFont="1" applyFill="1" applyBorder="1" applyAlignment="1" applyProtection="1">
      <alignment vertical="center"/>
    </xf>
    <xf numFmtId="164" fontId="5" fillId="6" borderId="78" xfId="2" applyNumberFormat="1" applyFont="1" applyFill="1" applyBorder="1" applyAlignment="1" applyProtection="1">
      <alignment vertical="center"/>
    </xf>
    <xf numFmtId="164" fontId="5" fillId="6" borderId="61" xfId="2" applyNumberFormat="1" applyFont="1" applyFill="1" applyBorder="1" applyAlignment="1" applyProtection="1">
      <alignment vertical="center"/>
    </xf>
    <xf numFmtId="164" fontId="5" fillId="6" borderId="75" xfId="2" applyNumberFormat="1" applyFont="1" applyFill="1" applyBorder="1" applyAlignment="1" applyProtection="1">
      <alignment vertical="center"/>
    </xf>
    <xf numFmtId="0" fontId="5" fillId="6" borderId="56" xfId="0" applyFont="1" applyFill="1" applyBorder="1" applyAlignment="1" applyProtection="1">
      <alignment vertical="center"/>
    </xf>
    <xf numFmtId="43" fontId="5" fillId="6" borderId="75" xfId="1" applyFont="1" applyFill="1" applyBorder="1" applyAlignment="1" applyProtection="1">
      <alignment vertical="center"/>
    </xf>
    <xf numFmtId="0" fontId="5" fillId="6" borderId="60" xfId="0" applyFont="1" applyFill="1" applyBorder="1" applyAlignment="1" applyProtection="1">
      <alignment vertical="center"/>
    </xf>
    <xf numFmtId="43" fontId="5" fillId="6" borderId="61" xfId="1" applyFont="1" applyFill="1" applyBorder="1" applyAlignment="1" applyProtection="1">
      <alignment vertical="center"/>
    </xf>
    <xf numFmtId="43" fontId="5" fillId="6" borderId="62" xfId="1" applyFont="1" applyFill="1" applyBorder="1" applyAlignment="1" applyProtection="1">
      <alignment vertical="center"/>
    </xf>
    <xf numFmtId="0" fontId="5" fillId="6" borderId="75" xfId="0" applyFont="1" applyFill="1" applyBorder="1" applyAlignment="1" applyProtection="1">
      <alignment vertical="center"/>
    </xf>
    <xf numFmtId="164" fontId="5" fillId="6" borderId="61" xfId="1" applyNumberFormat="1" applyFont="1" applyFill="1" applyBorder="1" applyAlignment="1" applyProtection="1">
      <alignment vertical="center"/>
    </xf>
    <xf numFmtId="164" fontId="5" fillId="6" borderId="62" xfId="1" applyNumberFormat="1" applyFont="1" applyFill="1" applyBorder="1" applyAlignment="1" applyProtection="1">
      <alignment vertical="center"/>
    </xf>
    <xf numFmtId="0" fontId="5" fillId="6" borderId="61" xfId="0" applyFont="1" applyFill="1" applyBorder="1" applyAlignment="1" applyProtection="1">
      <alignment vertical="center"/>
    </xf>
    <xf numFmtId="0" fontId="5" fillId="6" borderId="62" xfId="0" applyFont="1" applyFill="1" applyBorder="1" applyAlignment="1" applyProtection="1">
      <alignment vertical="center"/>
    </xf>
    <xf numFmtId="164" fontId="5" fillId="6" borderId="61" xfId="1" applyNumberFormat="1" applyFont="1" applyFill="1" applyBorder="1"/>
    <xf numFmtId="164" fontId="5" fillId="0" borderId="0" xfId="1" applyNumberFormat="1" applyFont="1" applyFill="1" applyAlignment="1">
      <alignment horizontal="center"/>
    </xf>
    <xf numFmtId="0" fontId="5" fillId="0" borderId="48" xfId="0" applyFont="1" applyBorder="1"/>
    <xf numFmtId="43" fontId="5" fillId="0" borderId="24" xfId="1" applyFont="1" applyFill="1" applyBorder="1"/>
    <xf numFmtId="0" fontId="5" fillId="6" borderId="15" xfId="0" applyFont="1" applyFill="1" applyBorder="1"/>
    <xf numFmtId="0" fontId="5" fillId="0" borderId="15" xfId="0" applyFont="1" applyBorder="1"/>
    <xf numFmtId="43" fontId="5" fillId="0" borderId="30" xfId="1" applyFont="1" applyBorder="1"/>
    <xf numFmtId="0" fontId="5" fillId="0" borderId="30" xfId="0" applyFont="1" applyBorder="1"/>
    <xf numFmtId="164" fontId="5" fillId="5" borderId="24" xfId="2" applyNumberFormat="1" applyFont="1" applyFill="1" applyBorder="1" applyAlignment="1" applyProtection="1">
      <alignment vertical="center"/>
    </xf>
    <xf numFmtId="164" fontId="5" fillId="5" borderId="15" xfId="2" applyNumberFormat="1" applyFont="1" applyFill="1" applyBorder="1" applyAlignment="1" applyProtection="1">
      <alignment vertical="center"/>
    </xf>
    <xf numFmtId="164" fontId="5" fillId="5" borderId="30" xfId="2" applyNumberFormat="1" applyFont="1" applyFill="1" applyBorder="1" applyAlignment="1" applyProtection="1">
      <alignment vertical="center"/>
    </xf>
    <xf numFmtId="0" fontId="5" fillId="0" borderId="66" xfId="0" applyFont="1" applyBorder="1"/>
    <xf numFmtId="43" fontId="5" fillId="0" borderId="57" xfId="1" applyFont="1" applyFill="1" applyBorder="1"/>
    <xf numFmtId="0" fontId="5" fillId="0" borderId="58" xfId="0" applyFont="1" applyFill="1" applyBorder="1"/>
    <xf numFmtId="0" fontId="5" fillId="0" borderId="57" xfId="0" applyFont="1" applyFill="1" applyBorder="1"/>
    <xf numFmtId="0" fontId="5" fillId="0" borderId="59" xfId="0" applyFont="1" applyFill="1" applyBorder="1"/>
    <xf numFmtId="0" fontId="5" fillId="6" borderId="58" xfId="0" applyFont="1" applyFill="1" applyBorder="1"/>
    <xf numFmtId="0" fontId="5" fillId="0" borderId="58" xfId="0" applyFont="1" applyBorder="1"/>
    <xf numFmtId="43" fontId="5" fillId="0" borderId="59" xfId="1" applyFont="1" applyBorder="1"/>
    <xf numFmtId="0" fontId="5" fillId="0" borderId="69" xfId="0" applyFont="1" applyBorder="1"/>
    <xf numFmtId="0" fontId="5" fillId="0" borderId="59" xfId="0" applyFont="1" applyBorder="1"/>
    <xf numFmtId="164" fontId="5" fillId="5" borderId="57" xfId="2" applyNumberFormat="1" applyFont="1" applyFill="1" applyBorder="1" applyAlignment="1" applyProtection="1">
      <alignment vertical="center"/>
    </xf>
    <xf numFmtId="164" fontId="5" fillId="5" borderId="58" xfId="2" applyNumberFormat="1" applyFont="1" applyFill="1" applyBorder="1" applyAlignment="1" applyProtection="1">
      <alignment vertical="center"/>
    </xf>
    <xf numFmtId="164" fontId="5" fillId="5" borderId="59" xfId="2" applyNumberFormat="1" applyFont="1" applyFill="1" applyBorder="1" applyAlignment="1" applyProtection="1">
      <alignment vertical="center"/>
    </xf>
    <xf numFmtId="0" fontId="5" fillId="0" borderId="60" xfId="0" applyFont="1" applyBorder="1"/>
    <xf numFmtId="43" fontId="5" fillId="0" borderId="61" xfId="1" applyNumberFormat="1" applyFont="1" applyBorder="1" applyAlignment="1">
      <alignment horizontal="right"/>
    </xf>
    <xf numFmtId="0" fontId="17" fillId="0" borderId="0" xfId="0" applyFont="1" applyFill="1" applyBorder="1" applyAlignment="1" applyProtection="1">
      <alignment horizontal="center" vertical="center"/>
    </xf>
    <xf numFmtId="164" fontId="4" fillId="0" borderId="6" xfId="1" applyNumberFormat="1" applyFont="1" applyBorder="1" applyAlignment="1">
      <alignment horizontal="right"/>
    </xf>
    <xf numFmtId="164" fontId="23" fillId="0" borderId="56" xfId="1" applyNumberFormat="1" applyFont="1" applyBorder="1" applyAlignment="1">
      <alignment vertical="top"/>
    </xf>
    <xf numFmtId="164" fontId="4" fillId="0" borderId="56" xfId="1" applyNumberFormat="1" applyFont="1" applyBorder="1" applyAlignment="1">
      <alignment horizontal="right"/>
    </xf>
    <xf numFmtId="164" fontId="4" fillId="2" borderId="1" xfId="1" applyNumberFormat="1" applyFont="1" applyFill="1" applyBorder="1"/>
    <xf numFmtId="164" fontId="17" fillId="0" borderId="11" xfId="1" applyNumberFormat="1" applyFont="1" applyFill="1" applyBorder="1"/>
    <xf numFmtId="43" fontId="17" fillId="0" borderId="11" xfId="1" applyFont="1" applyFill="1" applyBorder="1"/>
    <xf numFmtId="164" fontId="5" fillId="0" borderId="57" xfId="2" applyNumberFormat="1" applyFont="1" applyFill="1" applyBorder="1" applyAlignment="1" applyProtection="1">
      <alignment vertical="center"/>
    </xf>
    <xf numFmtId="164" fontId="5" fillId="0" borderId="98" xfId="2" applyNumberFormat="1" applyFont="1" applyFill="1" applyBorder="1" applyAlignment="1" applyProtection="1">
      <alignment vertical="center"/>
    </xf>
    <xf numFmtId="0" fontId="10" fillId="0" borderId="107" xfId="3" applyFont="1" applyFill="1" applyBorder="1" applyAlignment="1" applyProtection="1">
      <alignment vertical="center"/>
    </xf>
    <xf numFmtId="0" fontId="5" fillId="0" borderId="19" xfId="0" applyFont="1" applyFill="1" applyBorder="1" applyAlignment="1" applyProtection="1">
      <alignment horizontal="left" vertical="center"/>
    </xf>
    <xf numFmtId="164" fontId="5" fillId="0" borderId="79" xfId="1" applyNumberFormat="1" applyFont="1" applyFill="1" applyBorder="1" applyAlignment="1">
      <alignment horizontal="left"/>
    </xf>
    <xf numFmtId="164" fontId="4" fillId="0" borderId="79" xfId="1" applyNumberFormat="1" applyFont="1" applyBorder="1" applyAlignment="1">
      <alignment horizontal="right"/>
    </xf>
    <xf numFmtId="0" fontId="5" fillId="0" borderId="80" xfId="0" applyFont="1" applyFill="1" applyBorder="1"/>
    <xf numFmtId="43" fontId="5" fillId="0" borderId="80" xfId="1" applyFont="1" applyFill="1" applyBorder="1"/>
    <xf numFmtId="0" fontId="5" fillId="0" borderId="100" xfId="0" applyFont="1" applyFill="1" applyBorder="1"/>
    <xf numFmtId="43" fontId="5" fillId="0" borderId="102" xfId="1" applyFont="1" applyFill="1" applyBorder="1"/>
    <xf numFmtId="0" fontId="5" fillId="0" borderId="81" xfId="0" applyFont="1" applyFill="1" applyBorder="1"/>
    <xf numFmtId="0" fontId="5" fillId="6" borderId="100" xfId="0" applyFont="1" applyFill="1" applyBorder="1"/>
    <xf numFmtId="43" fontId="5" fillId="6" borderId="81" xfId="1" applyFont="1" applyFill="1" applyBorder="1"/>
    <xf numFmtId="0" fontId="5" fillId="0" borderId="101" xfId="0" applyFont="1" applyBorder="1"/>
    <xf numFmtId="0" fontId="5" fillId="0" borderId="81" xfId="0" applyFont="1" applyBorder="1"/>
    <xf numFmtId="164" fontId="5" fillId="5" borderId="80" xfId="2" applyNumberFormat="1" applyFont="1" applyFill="1" applyBorder="1" applyAlignment="1" applyProtection="1">
      <alignment vertical="center"/>
    </xf>
    <xf numFmtId="164" fontId="5" fillId="5" borderId="100" xfId="2" applyNumberFormat="1" applyFont="1" applyFill="1" applyBorder="1" applyAlignment="1" applyProtection="1">
      <alignment vertical="center"/>
    </xf>
    <xf numFmtId="164" fontId="5" fillId="5" borderId="81" xfId="2" applyNumberFormat="1" applyFont="1" applyFill="1" applyBorder="1" applyAlignment="1" applyProtection="1">
      <alignment vertical="center"/>
    </xf>
    <xf numFmtId="164" fontId="5" fillId="5" borderId="67" xfId="2" applyNumberFormat="1" applyFont="1" applyFill="1" applyBorder="1" applyAlignment="1" applyProtection="1">
      <alignment vertical="center"/>
    </xf>
    <xf numFmtId="164" fontId="5" fillId="5" borderId="78" xfId="2" applyNumberFormat="1" applyFont="1" applyFill="1" applyBorder="1" applyAlignment="1" applyProtection="1">
      <alignment vertical="center"/>
    </xf>
    <xf numFmtId="43" fontId="5" fillId="0" borderId="62" xfId="1" applyFont="1" applyFill="1" applyBorder="1"/>
    <xf numFmtId="43" fontId="4" fillId="4" borderId="1" xfId="1" applyNumberFormat="1" applyFont="1" applyFill="1" applyBorder="1" applyAlignment="1">
      <alignment horizontal="right"/>
    </xf>
    <xf numFmtId="164" fontId="4" fillId="0" borderId="73" xfId="1" applyNumberFormat="1" applyFont="1" applyBorder="1" applyAlignment="1">
      <alignment horizontal="right"/>
    </xf>
    <xf numFmtId="0" fontId="5" fillId="0" borderId="94" xfId="0" applyFont="1" applyFill="1" applyBorder="1" applyAlignment="1" applyProtection="1">
      <alignment vertical="center"/>
    </xf>
    <xf numFmtId="43" fontId="5" fillId="0" borderId="114" xfId="1" applyFont="1" applyFill="1" applyBorder="1" applyAlignment="1" applyProtection="1">
      <alignment vertical="center"/>
    </xf>
    <xf numFmtId="0" fontId="5" fillId="0" borderId="95" xfId="0" applyFont="1" applyFill="1" applyBorder="1" applyAlignment="1" applyProtection="1">
      <alignment vertical="center"/>
    </xf>
    <xf numFmtId="164" fontId="5" fillId="0" borderId="114" xfId="1" applyNumberFormat="1" applyFont="1" applyFill="1" applyBorder="1" applyAlignment="1" applyProtection="1">
      <alignment vertical="center"/>
    </xf>
    <xf numFmtId="0" fontId="5" fillId="0" borderId="97" xfId="0" applyFont="1" applyFill="1" applyBorder="1" applyAlignment="1" applyProtection="1">
      <alignment vertical="center"/>
    </xf>
    <xf numFmtId="0" fontId="5" fillId="0" borderId="114" xfId="0" applyFont="1" applyFill="1" applyBorder="1" applyAlignment="1" applyProtection="1">
      <alignment vertical="center"/>
    </xf>
    <xf numFmtId="0" fontId="5" fillId="0" borderId="110" xfId="0" applyFont="1" applyFill="1" applyBorder="1" applyAlignment="1" applyProtection="1">
      <alignment vertical="center"/>
    </xf>
    <xf numFmtId="164" fontId="5" fillId="0" borderId="115" xfId="2" applyNumberFormat="1" applyFont="1" applyFill="1" applyBorder="1" applyAlignment="1" applyProtection="1">
      <alignment vertical="center"/>
    </xf>
    <xf numFmtId="164" fontId="5" fillId="0" borderId="97" xfId="2" applyNumberFormat="1" applyFont="1" applyFill="1" applyBorder="1" applyAlignment="1" applyProtection="1">
      <alignment vertical="center"/>
    </xf>
    <xf numFmtId="164" fontId="5" fillId="0" borderId="114" xfId="2" applyNumberFormat="1" applyFont="1" applyFill="1" applyBorder="1" applyAlignment="1" applyProtection="1">
      <alignment vertical="center"/>
    </xf>
    <xf numFmtId="164" fontId="5" fillId="0" borderId="76" xfId="1" applyNumberFormat="1" applyFont="1" applyFill="1" applyBorder="1" applyAlignment="1" applyProtection="1">
      <alignment vertical="center"/>
    </xf>
    <xf numFmtId="164" fontId="5" fillId="0" borderId="99" xfId="1" applyNumberFormat="1" applyFont="1" applyFill="1" applyBorder="1" applyAlignment="1" applyProtection="1">
      <alignment vertical="center"/>
    </xf>
    <xf numFmtId="0" fontId="5" fillId="0" borderId="99" xfId="0" applyFont="1" applyFill="1" applyBorder="1" applyAlignment="1" applyProtection="1">
      <alignment vertical="center"/>
    </xf>
    <xf numFmtId="164" fontId="5" fillId="0" borderId="116" xfId="2" applyNumberFormat="1" applyFont="1" applyFill="1" applyBorder="1" applyAlignment="1" applyProtection="1">
      <alignment vertical="center"/>
    </xf>
    <xf numFmtId="164" fontId="5" fillId="0" borderId="95" xfId="1" applyNumberFormat="1" applyFont="1" applyFill="1" applyBorder="1" applyAlignment="1" applyProtection="1">
      <alignment vertical="center"/>
    </xf>
    <xf numFmtId="0" fontId="5" fillId="0" borderId="76" xfId="0" applyFont="1" applyFill="1" applyBorder="1" applyAlignment="1" applyProtection="1">
      <alignment vertical="center"/>
    </xf>
    <xf numFmtId="164" fontId="5" fillId="0" borderId="97" xfId="1" applyNumberFormat="1" applyFont="1" applyFill="1" applyBorder="1" applyAlignment="1" applyProtection="1">
      <alignment vertical="center"/>
    </xf>
    <xf numFmtId="0" fontId="5" fillId="6" borderId="95" xfId="0" applyFont="1" applyFill="1" applyBorder="1" applyAlignment="1" applyProtection="1">
      <alignment vertical="center"/>
    </xf>
    <xf numFmtId="0" fontId="5" fillId="6" borderId="28" xfId="0" applyFont="1" applyFill="1" applyBorder="1" applyAlignment="1" applyProtection="1">
      <alignment vertical="center"/>
    </xf>
    <xf numFmtId="0" fontId="4" fillId="0" borderId="0" xfId="0" applyFont="1" applyFill="1"/>
    <xf numFmtId="164" fontId="4" fillId="0" borderId="0" xfId="1" applyNumberFormat="1" applyFont="1" applyFill="1" applyBorder="1"/>
    <xf numFmtId="43" fontId="4" fillId="0" borderId="0" xfId="1" applyFont="1" applyFill="1" applyBorder="1"/>
    <xf numFmtId="164" fontId="4" fillId="0" borderId="0" xfId="1" applyNumberFormat="1" applyFont="1" applyAlignment="1">
      <alignment horizontal="center"/>
    </xf>
    <xf numFmtId="164" fontId="4" fillId="0" borderId="17" xfId="1" applyNumberFormat="1" applyFont="1" applyBorder="1" applyAlignment="1">
      <alignment horizontal="center" vertical="center"/>
    </xf>
    <xf numFmtId="0" fontId="5" fillId="0" borderId="109" xfId="0" applyFont="1" applyFill="1" applyBorder="1"/>
    <xf numFmtId="0" fontId="5" fillId="0" borderId="78" xfId="0" applyFont="1" applyFill="1" applyBorder="1"/>
    <xf numFmtId="0" fontId="0" fillId="0" borderId="62" xfId="0" applyBorder="1"/>
    <xf numFmtId="0" fontId="5" fillId="0" borderId="80" xfId="0" applyFont="1" applyFill="1" applyBorder="1" applyAlignment="1" applyProtection="1">
      <alignment vertical="center"/>
    </xf>
    <xf numFmtId="0" fontId="5" fillId="0" borderId="107" xfId="0" applyFont="1" applyFill="1" applyBorder="1" applyAlignment="1" applyProtection="1">
      <alignment vertical="center"/>
    </xf>
    <xf numFmtId="0" fontId="5" fillId="0" borderId="100" xfId="0" applyFont="1" applyFill="1" applyBorder="1" applyAlignment="1" applyProtection="1">
      <alignment vertical="center"/>
    </xf>
    <xf numFmtId="0" fontId="5" fillId="0" borderId="81" xfId="0" applyFont="1" applyFill="1" applyBorder="1" applyAlignment="1" applyProtection="1">
      <alignment vertical="center"/>
    </xf>
    <xf numFmtId="0" fontId="10" fillId="0" borderId="107" xfId="0" applyFont="1" applyFill="1" applyBorder="1" applyAlignment="1" applyProtection="1">
      <alignment horizontal="left" vertical="center"/>
    </xf>
    <xf numFmtId="164" fontId="5" fillId="0" borderId="60" xfId="2" applyNumberFormat="1" applyFont="1" applyFill="1" applyBorder="1" applyAlignment="1" applyProtection="1">
      <alignment vertical="center"/>
    </xf>
    <xf numFmtId="164" fontId="5" fillId="0" borderId="69" xfId="2" applyNumberFormat="1" applyFont="1" applyFill="1" applyBorder="1" applyAlignment="1" applyProtection="1">
      <alignment vertical="center"/>
    </xf>
    <xf numFmtId="164" fontId="4" fillId="6" borderId="1" xfId="1" applyNumberFormat="1" applyFont="1" applyFill="1" applyBorder="1" applyProtection="1"/>
    <xf numFmtId="164" fontId="4" fillId="6" borderId="52" xfId="1" applyNumberFormat="1" applyFont="1" applyFill="1" applyBorder="1" applyProtection="1"/>
    <xf numFmtId="164" fontId="4" fillId="6" borderId="3" xfId="1" applyNumberFormat="1" applyFont="1" applyFill="1" applyBorder="1" applyProtection="1"/>
    <xf numFmtId="164" fontId="4" fillId="6" borderId="2" xfId="1" applyNumberFormat="1" applyFont="1" applyFill="1" applyBorder="1" applyProtection="1"/>
    <xf numFmtId="164" fontId="4" fillId="6" borderId="50" xfId="1" applyNumberFormat="1" applyFont="1" applyFill="1" applyBorder="1" applyProtection="1"/>
    <xf numFmtId="43" fontId="5" fillId="0" borderId="0" xfId="1" applyFont="1" applyBorder="1"/>
    <xf numFmtId="43" fontId="5" fillId="0" borderId="0" xfId="1" applyFont="1" applyFill="1" applyBorder="1"/>
    <xf numFmtId="43" fontId="5" fillId="6" borderId="0" xfId="1" applyFont="1" applyFill="1" applyBorder="1"/>
    <xf numFmtId="164" fontId="5" fillId="5" borderId="0" xfId="1" applyNumberFormat="1" applyFont="1" applyFill="1" applyBorder="1" applyAlignment="1" applyProtection="1">
      <alignment vertical="center"/>
    </xf>
    <xf numFmtId="0" fontId="5" fillId="6" borderId="31" xfId="0" applyFont="1" applyFill="1" applyBorder="1"/>
    <xf numFmtId="0" fontId="5" fillId="0" borderId="10" xfId="0" applyFont="1" applyBorder="1"/>
    <xf numFmtId="164" fontId="5" fillId="5" borderId="31" xfId="1" applyNumberFormat="1" applyFont="1" applyFill="1" applyBorder="1" applyAlignment="1" applyProtection="1">
      <alignment vertical="center"/>
    </xf>
    <xf numFmtId="164" fontId="5" fillId="5" borderId="32" xfId="1" applyNumberFormat="1" applyFont="1" applyFill="1" applyBorder="1" applyAlignment="1" applyProtection="1">
      <alignment vertical="center"/>
    </xf>
    <xf numFmtId="0" fontId="5" fillId="0" borderId="61" xfId="0" applyFont="1" applyBorder="1"/>
    <xf numFmtId="0" fontId="0" fillId="0" borderId="61" xfId="0" applyBorder="1"/>
    <xf numFmtId="43" fontId="5" fillId="0" borderId="29" xfId="1" applyFont="1" applyBorder="1"/>
    <xf numFmtId="43" fontId="5" fillId="0" borderId="62" xfId="1" applyFont="1" applyBorder="1"/>
    <xf numFmtId="0" fontId="5" fillId="0" borderId="42" xfId="0" applyFont="1" applyBorder="1"/>
    <xf numFmtId="0" fontId="5" fillId="0" borderId="67" xfId="0" applyFont="1" applyBorder="1"/>
    <xf numFmtId="0" fontId="5" fillId="0" borderId="49" xfId="0" applyFont="1" applyBorder="1"/>
    <xf numFmtId="43" fontId="5" fillId="0" borderId="60" xfId="1" applyFont="1" applyBorder="1"/>
    <xf numFmtId="43" fontId="5" fillId="0" borderId="57" xfId="1" applyFont="1" applyBorder="1"/>
    <xf numFmtId="43" fontId="5" fillId="0" borderId="63" xfId="1" applyFont="1" applyBorder="1"/>
    <xf numFmtId="0" fontId="5" fillId="0" borderId="19" xfId="0" applyFont="1" applyFill="1" applyBorder="1"/>
    <xf numFmtId="164" fontId="5" fillId="0" borderId="57" xfId="1" applyNumberFormat="1" applyFont="1" applyBorder="1" applyAlignment="1">
      <alignment horizontal="right" vertical="top"/>
    </xf>
    <xf numFmtId="164" fontId="5" fillId="0" borderId="69" xfId="1" applyNumberFormat="1" applyFont="1" applyBorder="1" applyAlignment="1">
      <alignment horizontal="right" vertical="top"/>
    </xf>
    <xf numFmtId="164" fontId="5" fillId="0" borderId="74" xfId="1" applyNumberFormat="1" applyFont="1" applyBorder="1" applyAlignment="1">
      <alignment horizontal="right" vertical="top"/>
    </xf>
    <xf numFmtId="164" fontId="5" fillId="0" borderId="75" xfId="1" applyNumberFormat="1" applyFont="1" applyBorder="1" applyAlignment="1">
      <alignment horizontal="right" vertical="top"/>
    </xf>
    <xf numFmtId="164" fontId="5" fillId="0" borderId="76" xfId="1" applyNumberFormat="1" applyFont="1" applyBorder="1" applyAlignment="1">
      <alignment horizontal="right" vertical="top"/>
    </xf>
    <xf numFmtId="164" fontId="5" fillId="0" borderId="58" xfId="1" applyNumberFormat="1" applyFont="1" applyBorder="1" applyAlignment="1">
      <alignment horizontal="right" vertical="top"/>
    </xf>
    <xf numFmtId="164" fontId="5" fillId="0" borderId="96" xfId="1" applyNumberFormat="1" applyFont="1" applyBorder="1" applyAlignment="1">
      <alignment horizontal="right" vertical="top"/>
    </xf>
    <xf numFmtId="164" fontId="5" fillId="0" borderId="78" xfId="1" applyNumberFormat="1" applyFont="1" applyBorder="1" applyAlignment="1">
      <alignment horizontal="right" vertical="top"/>
    </xf>
    <xf numFmtId="164" fontId="5" fillId="0" borderId="108" xfId="1" applyNumberFormat="1" applyFont="1" applyBorder="1" applyAlignment="1">
      <alignment horizontal="right" vertical="top"/>
    </xf>
    <xf numFmtId="164" fontId="5" fillId="0" borderId="92" xfId="1" applyNumberFormat="1" applyFont="1" applyBorder="1" applyAlignment="1">
      <alignment horizontal="right" vertical="top"/>
    </xf>
    <xf numFmtId="164" fontId="5" fillId="0" borderId="77" xfId="1" applyNumberFormat="1" applyFont="1" applyBorder="1" applyAlignment="1">
      <alignment horizontal="right" vertical="top"/>
    </xf>
    <xf numFmtId="164" fontId="5" fillId="0" borderId="93" xfId="1" applyNumberFormat="1" applyFont="1" applyBorder="1" applyAlignment="1">
      <alignment horizontal="right" vertical="top"/>
    </xf>
    <xf numFmtId="164" fontId="5" fillId="0" borderId="59" xfId="1" applyNumberFormat="1" applyFont="1" applyBorder="1" applyAlignment="1">
      <alignment horizontal="right" vertical="top"/>
    </xf>
    <xf numFmtId="43" fontId="5" fillId="0" borderId="58" xfId="1" applyFont="1" applyBorder="1" applyAlignment="1">
      <alignment horizontal="right"/>
    </xf>
    <xf numFmtId="164" fontId="5" fillId="5" borderId="57" xfId="1" applyNumberFormat="1" applyFont="1" applyFill="1" applyBorder="1" applyAlignment="1" applyProtection="1">
      <alignment vertical="center"/>
    </xf>
    <xf numFmtId="164" fontId="5" fillId="5" borderId="59" xfId="1" applyNumberFormat="1" applyFont="1" applyFill="1" applyBorder="1" applyAlignment="1" applyProtection="1">
      <alignment vertical="center"/>
    </xf>
    <xf numFmtId="164" fontId="5" fillId="5" borderId="60" xfId="1" applyNumberFormat="1" applyFont="1" applyFill="1" applyBorder="1" applyAlignment="1" applyProtection="1">
      <alignment vertical="center"/>
    </xf>
    <xf numFmtId="164" fontId="5" fillId="5" borderId="62" xfId="1" applyNumberFormat="1" applyFont="1" applyFill="1" applyBorder="1" applyAlignment="1" applyProtection="1">
      <alignment vertical="center"/>
    </xf>
    <xf numFmtId="164" fontId="5" fillId="5" borderId="95" xfId="2" applyNumberFormat="1" applyFont="1" applyFill="1" applyBorder="1" applyAlignment="1" applyProtection="1">
      <alignment vertical="center"/>
    </xf>
    <xf numFmtId="164" fontId="5" fillId="5" borderId="97" xfId="2" applyNumberFormat="1" applyFont="1" applyFill="1" applyBorder="1" applyAlignment="1" applyProtection="1">
      <alignment vertical="center"/>
    </xf>
    <xf numFmtId="164" fontId="5" fillId="5" borderId="98" xfId="2" applyNumberFormat="1" applyFont="1" applyFill="1" applyBorder="1" applyAlignment="1" applyProtection="1">
      <alignment vertical="center"/>
    </xf>
    <xf numFmtId="164" fontId="5" fillId="5" borderId="95" xfId="1" applyNumberFormat="1" applyFont="1" applyFill="1" applyBorder="1" applyAlignment="1" applyProtection="1">
      <alignment vertical="center"/>
    </xf>
    <xf numFmtId="164" fontId="5" fillId="5" borderId="98" xfId="1" applyNumberFormat="1" applyFont="1" applyFill="1" applyBorder="1" applyAlignment="1" applyProtection="1">
      <alignment vertical="center"/>
    </xf>
    <xf numFmtId="0" fontId="0" fillId="0" borderId="58" xfId="0" applyBorder="1"/>
    <xf numFmtId="0" fontId="0" fillId="0" borderId="78" xfId="0" applyBorder="1"/>
    <xf numFmtId="164" fontId="5" fillId="0" borderId="72" xfId="1" applyNumberFormat="1" applyFont="1" applyFill="1" applyBorder="1" applyAlignment="1">
      <alignment horizontal="left"/>
    </xf>
    <xf numFmtId="43" fontId="5" fillId="0" borderId="69" xfId="1" applyFont="1" applyBorder="1" applyAlignment="1">
      <alignment horizontal="right"/>
    </xf>
    <xf numFmtId="43" fontId="5" fillId="0" borderId="59" xfId="1" applyFont="1" applyBorder="1" applyAlignment="1">
      <alignment horizontal="right"/>
    </xf>
    <xf numFmtId="43" fontId="5" fillId="0" borderId="72" xfId="1" applyFont="1" applyBorder="1" applyAlignment="1">
      <alignment horizontal="right" vertical="center"/>
    </xf>
    <xf numFmtId="43" fontId="5" fillId="0" borderId="56" xfId="1" applyFont="1" applyBorder="1" applyAlignment="1">
      <alignment horizontal="right" vertical="center"/>
    </xf>
    <xf numFmtId="43" fontId="5" fillId="0" borderId="72" xfId="1" applyFont="1" applyBorder="1" applyAlignment="1">
      <alignment horizontal="right"/>
    </xf>
    <xf numFmtId="43" fontId="5" fillId="0" borderId="56" xfId="1" applyFont="1" applyBorder="1" applyAlignment="1">
      <alignment horizontal="right"/>
    </xf>
    <xf numFmtId="43" fontId="5" fillId="0" borderId="73" xfId="1" applyFont="1" applyBorder="1" applyAlignment="1">
      <alignment horizontal="right"/>
    </xf>
    <xf numFmtId="0" fontId="5" fillId="0" borderId="69" xfId="0" applyFont="1" applyFill="1" applyBorder="1"/>
    <xf numFmtId="0" fontId="5" fillId="0" borderId="70" xfId="0" applyFont="1" applyFill="1" applyBorder="1"/>
    <xf numFmtId="0" fontId="5" fillId="6" borderId="59" xfId="0" applyFont="1" applyFill="1" applyBorder="1"/>
    <xf numFmtId="43" fontId="5" fillId="6" borderId="53" xfId="1" applyFont="1" applyFill="1" applyBorder="1"/>
    <xf numFmtId="43" fontId="5" fillId="6" borderId="70" xfId="1" applyFont="1" applyFill="1" applyBorder="1"/>
    <xf numFmtId="43" fontId="5" fillId="0" borderId="37" xfId="1" applyFont="1" applyFill="1" applyBorder="1"/>
    <xf numFmtId="43" fontId="5" fillId="0" borderId="18" xfId="1" applyFont="1" applyBorder="1" applyAlignment="1">
      <alignment horizontal="right" vertical="center"/>
    </xf>
    <xf numFmtId="164" fontId="5" fillId="0" borderId="61" xfId="1" applyNumberFormat="1" applyFont="1" applyFill="1" applyBorder="1" applyAlignment="1">
      <alignment horizontal="center"/>
    </xf>
    <xf numFmtId="0" fontId="0" fillId="0" borderId="115" xfId="0" applyBorder="1"/>
    <xf numFmtId="0" fontId="0" fillId="0" borderId="0" xfId="0" applyBorder="1"/>
    <xf numFmtId="0" fontId="5" fillId="6" borderId="0" xfId="0" applyFont="1" applyFill="1"/>
    <xf numFmtId="164" fontId="5" fillId="0" borderId="13" xfId="1" applyNumberFormat="1" applyFont="1" applyFill="1" applyBorder="1" applyAlignment="1" applyProtection="1">
      <alignment vertical="center"/>
    </xf>
    <xf numFmtId="164" fontId="4" fillId="0" borderId="74" xfId="1" applyNumberFormat="1" applyFont="1" applyBorder="1" applyAlignment="1">
      <alignment horizontal="right"/>
    </xf>
    <xf numFmtId="164" fontId="4" fillId="0" borderId="114" xfId="1" applyNumberFormat="1" applyFont="1" applyBorder="1" applyAlignment="1">
      <alignment horizontal="right"/>
    </xf>
    <xf numFmtId="164" fontId="5" fillId="0" borderId="96" xfId="1" applyNumberFormat="1" applyFont="1" applyFill="1" applyBorder="1" applyAlignment="1">
      <alignment horizontal="left"/>
    </xf>
    <xf numFmtId="0" fontId="26" fillId="0" borderId="67" xfId="0" applyFont="1" applyFill="1" applyBorder="1"/>
    <xf numFmtId="0" fontId="5" fillId="0" borderId="101" xfId="0" applyFont="1" applyFill="1" applyBorder="1"/>
    <xf numFmtId="0" fontId="5" fillId="6" borderId="81" xfId="0" applyFont="1" applyFill="1" applyBorder="1"/>
    <xf numFmtId="0" fontId="5" fillId="0" borderId="100" xfId="0" applyFont="1" applyBorder="1"/>
    <xf numFmtId="164" fontId="5" fillId="0" borderId="31" xfId="1" applyNumberFormat="1" applyFont="1" applyFill="1" applyBorder="1"/>
    <xf numFmtId="0" fontId="5" fillId="0" borderId="37" xfId="0" applyFont="1" applyFill="1" applyBorder="1"/>
    <xf numFmtId="164" fontId="5" fillId="0" borderId="37" xfId="1" applyNumberFormat="1" applyFont="1" applyFill="1" applyBorder="1"/>
    <xf numFmtId="0" fontId="5" fillId="6" borderId="32" xfId="0" applyFont="1" applyFill="1" applyBorder="1"/>
    <xf numFmtId="0" fontId="0" fillId="0" borderId="111" xfId="0" applyBorder="1"/>
    <xf numFmtId="0" fontId="0" fillId="0" borderId="60" xfId="0" applyBorder="1"/>
    <xf numFmtId="164" fontId="5" fillId="0" borderId="31" xfId="1" applyNumberFormat="1" applyFont="1" applyBorder="1" applyAlignment="1">
      <alignment horizontal="right" vertical="top"/>
    </xf>
    <xf numFmtId="164" fontId="5" fillId="0" borderId="9" xfId="1" applyNumberFormat="1" applyFont="1" applyBorder="1" applyAlignment="1">
      <alignment horizontal="right" vertical="top"/>
    </xf>
    <xf numFmtId="164" fontId="5" fillId="0" borderId="32" xfId="1" applyNumberFormat="1" applyFont="1" applyBorder="1" applyAlignment="1">
      <alignment horizontal="right" vertical="top"/>
    </xf>
    <xf numFmtId="43" fontId="5" fillId="0" borderId="7" xfId="1" applyFont="1" applyBorder="1" applyAlignment="1">
      <alignment horizontal="right" vertical="center"/>
    </xf>
    <xf numFmtId="164" fontId="5" fillId="0" borderId="61" xfId="1" applyNumberFormat="1" applyFont="1" applyFill="1" applyBorder="1" applyAlignment="1">
      <alignment horizontal="left"/>
    </xf>
    <xf numFmtId="164" fontId="5" fillId="0" borderId="67" xfId="1" applyNumberFormat="1" applyFont="1" applyFill="1" applyBorder="1" applyAlignment="1">
      <alignment horizontal="left"/>
    </xf>
    <xf numFmtId="0" fontId="0" fillId="0" borderId="69" xfId="0" applyBorder="1"/>
    <xf numFmtId="0" fontId="0" fillId="0" borderId="70" xfId="0" applyBorder="1"/>
    <xf numFmtId="0" fontId="5" fillId="6" borderId="0" xfId="0" applyFont="1" applyFill="1" applyProtection="1"/>
    <xf numFmtId="0" fontId="0" fillId="6" borderId="78" xfId="0" applyFill="1" applyBorder="1"/>
    <xf numFmtId="43" fontId="5" fillId="6" borderId="77" xfId="1" applyFont="1" applyFill="1" applyBorder="1" applyAlignment="1" applyProtection="1">
      <alignment vertical="center"/>
    </xf>
    <xf numFmtId="43" fontId="5" fillId="6" borderId="60" xfId="1" applyFont="1" applyFill="1" applyBorder="1" applyAlignment="1" applyProtection="1">
      <alignment vertical="center"/>
    </xf>
    <xf numFmtId="164" fontId="5" fillId="6" borderId="56" xfId="1" applyNumberFormat="1" applyFont="1" applyFill="1" applyBorder="1" applyAlignment="1">
      <alignment horizontal="left"/>
    </xf>
    <xf numFmtId="164" fontId="5" fillId="6" borderId="78" xfId="1" applyNumberFormat="1" applyFont="1" applyFill="1" applyBorder="1" applyAlignment="1">
      <alignment horizontal="left"/>
    </xf>
    <xf numFmtId="164" fontId="4" fillId="6" borderId="114" xfId="1" applyNumberFormat="1" applyFont="1" applyFill="1" applyBorder="1" applyAlignment="1">
      <alignment horizontal="right"/>
    </xf>
    <xf numFmtId="164" fontId="5" fillId="6" borderId="60" xfId="1" applyNumberFormat="1" applyFont="1" applyFill="1" applyBorder="1" applyAlignment="1">
      <alignment horizontal="right" vertical="top"/>
    </xf>
    <xf numFmtId="164" fontId="5" fillId="6" borderId="61" xfId="1" applyNumberFormat="1" applyFont="1" applyFill="1" applyBorder="1" applyAlignment="1">
      <alignment horizontal="right" vertical="top"/>
    </xf>
    <xf numFmtId="164" fontId="5" fillId="6" borderId="62" xfId="1" applyNumberFormat="1" applyFont="1" applyFill="1" applyBorder="1" applyAlignment="1">
      <alignment horizontal="right" vertical="top"/>
    </xf>
    <xf numFmtId="43" fontId="5" fillId="6" borderId="70" xfId="1" applyFont="1" applyFill="1" applyBorder="1" applyAlignment="1">
      <alignment horizontal="right"/>
    </xf>
    <xf numFmtId="43" fontId="5" fillId="6" borderId="61" xfId="1" applyFont="1" applyFill="1" applyBorder="1" applyAlignment="1">
      <alignment horizontal="right"/>
    </xf>
    <xf numFmtId="43" fontId="5" fillId="6" borderId="62" xfId="1" applyFont="1" applyFill="1" applyBorder="1" applyAlignment="1">
      <alignment horizontal="right"/>
    </xf>
    <xf numFmtId="43" fontId="5" fillId="6" borderId="56" xfId="1" applyFont="1" applyFill="1" applyBorder="1" applyAlignment="1">
      <alignment horizontal="right" vertical="center"/>
    </xf>
    <xf numFmtId="0" fontId="0" fillId="6" borderId="0" xfId="0" applyFill="1" applyBorder="1"/>
    <xf numFmtId="0" fontId="0" fillId="6" borderId="70" xfId="0" applyFill="1" applyBorder="1"/>
    <xf numFmtId="0" fontId="0" fillId="6" borderId="61" xfId="0" applyFill="1" applyBorder="1"/>
    <xf numFmtId="0" fontId="4" fillId="0" borderId="8" xfId="0" applyFont="1" applyFill="1" applyBorder="1" applyAlignment="1" applyProtection="1">
      <alignment horizontal="center" vertical="center"/>
    </xf>
    <xf numFmtId="0" fontId="4" fillId="5" borderId="8" xfId="0" applyFont="1" applyFill="1" applyBorder="1" applyAlignment="1" applyProtection="1">
      <alignment horizontal="center" vertical="center"/>
    </xf>
    <xf numFmtId="164" fontId="14" fillId="0" borderId="0" xfId="1" applyNumberFormat="1" applyFont="1" applyAlignment="1" applyProtection="1">
      <alignment horizontal="center" wrapText="1"/>
      <protection locked="0"/>
    </xf>
    <xf numFmtId="164" fontId="14" fillId="0" borderId="0" xfId="1" applyNumberFormat="1" applyFont="1" applyAlignment="1" applyProtection="1">
      <alignment horizontal="center"/>
      <protection locked="0"/>
    </xf>
    <xf numFmtId="164" fontId="14" fillId="0" borderId="0" xfId="1" applyNumberFormat="1" applyFont="1" applyAlignment="1" applyProtection="1">
      <alignment horizontal="left" vertical="center"/>
      <protection locked="0"/>
    </xf>
    <xf numFmtId="164" fontId="14" fillId="0" borderId="0" xfId="1" applyNumberFormat="1" applyFont="1" applyAlignment="1" applyProtection="1">
      <alignment horizontal="left"/>
      <protection locked="0"/>
    </xf>
    <xf numFmtId="164" fontId="4" fillId="0" borderId="0" xfId="1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horizontal="center" vertical="center"/>
    </xf>
    <xf numFmtId="43" fontId="5" fillId="0" borderId="10" xfId="1" applyFont="1" applyFill="1" applyBorder="1" applyAlignment="1" applyProtection="1">
      <alignment vertical="center"/>
    </xf>
    <xf numFmtId="43" fontId="5" fillId="0" borderId="110" xfId="1" applyFont="1" applyFill="1" applyBorder="1" applyAlignment="1" applyProtection="1">
      <alignment vertical="center"/>
    </xf>
    <xf numFmtId="43" fontId="5" fillId="6" borderId="0" xfId="1" applyFont="1" applyFill="1" applyBorder="1" applyAlignment="1" applyProtection="1">
      <alignment vertical="center"/>
    </xf>
    <xf numFmtId="164" fontId="5" fillId="0" borderId="93" xfId="1" applyNumberFormat="1" applyFont="1" applyFill="1" applyBorder="1" applyAlignment="1" applyProtection="1">
      <alignment vertical="center"/>
    </xf>
    <xf numFmtId="165" fontId="5" fillId="0" borderId="77" xfId="1" applyNumberFormat="1" applyFont="1" applyFill="1" applyBorder="1" applyAlignment="1" applyProtection="1">
      <alignment vertical="center"/>
    </xf>
    <xf numFmtId="164" fontId="5" fillId="0" borderId="77" xfId="1" applyNumberFormat="1" applyFont="1" applyFill="1" applyBorder="1" applyAlignment="1" applyProtection="1">
      <alignment vertical="center"/>
    </xf>
    <xf numFmtId="164" fontId="5" fillId="0" borderId="77" xfId="2" applyNumberFormat="1" applyFont="1" applyFill="1" applyBorder="1" applyAlignment="1" applyProtection="1">
      <alignment vertical="center"/>
    </xf>
    <xf numFmtId="43" fontId="4" fillId="0" borderId="17" xfId="1" applyFont="1" applyFill="1" applyBorder="1" applyAlignment="1" applyProtection="1">
      <alignment vertical="center"/>
    </xf>
    <xf numFmtId="0" fontId="12" fillId="0" borderId="0" xfId="0" applyFont="1" applyBorder="1" applyAlignment="1">
      <alignment vertical="center" wrapText="1"/>
    </xf>
    <xf numFmtId="0" fontId="12" fillId="0" borderId="8" xfId="0" applyFont="1" applyBorder="1" applyAlignment="1">
      <alignment vertical="center"/>
    </xf>
    <xf numFmtId="0" fontId="0" fillId="0" borderId="0" xfId="0" applyAlignment="1">
      <alignment vertical="top"/>
    </xf>
    <xf numFmtId="0" fontId="28" fillId="0" borderId="0" xfId="0" applyFont="1" applyAlignment="1">
      <alignment vertical="top"/>
    </xf>
    <xf numFmtId="0" fontId="28" fillId="0" borderId="20" xfId="0" applyFont="1" applyBorder="1" applyAlignment="1">
      <alignment horizontal="center" vertical="top"/>
    </xf>
    <xf numFmtId="0" fontId="28" fillId="4" borderId="20" xfId="0" applyFont="1" applyFill="1" applyBorder="1" applyAlignment="1">
      <alignment horizontal="center" vertical="top"/>
    </xf>
    <xf numFmtId="0" fontId="29" fillId="0" borderId="20" xfId="0" applyFont="1" applyBorder="1" applyAlignment="1">
      <alignment vertical="top"/>
    </xf>
    <xf numFmtId="1" fontId="29" fillId="0" borderId="20" xfId="0" applyNumberFormat="1" applyFont="1" applyBorder="1" applyAlignment="1">
      <alignment vertical="top"/>
    </xf>
    <xf numFmtId="1" fontId="28" fillId="4" borderId="20" xfId="0" applyNumberFormat="1" applyFont="1" applyFill="1" applyBorder="1" applyAlignment="1">
      <alignment vertical="top"/>
    </xf>
    <xf numFmtId="0" fontId="29" fillId="0" borderId="111" xfId="0" applyFont="1" applyBorder="1" applyAlignment="1">
      <alignment vertical="top"/>
    </xf>
    <xf numFmtId="1" fontId="29" fillId="0" borderId="111" xfId="0" applyNumberFormat="1" applyFont="1" applyBorder="1" applyAlignment="1">
      <alignment vertical="top"/>
    </xf>
    <xf numFmtId="1" fontId="28" fillId="4" borderId="111" xfId="0" applyNumberFormat="1" applyFont="1" applyFill="1" applyBorder="1" applyAlignment="1">
      <alignment vertical="top"/>
    </xf>
    <xf numFmtId="0" fontId="30" fillId="4" borderId="121" xfId="0" applyFont="1" applyFill="1" applyBorder="1" applyAlignment="1">
      <alignment vertical="top"/>
    </xf>
    <xf numFmtId="1" fontId="30" fillId="4" borderId="121" xfId="0" applyNumberFormat="1" applyFont="1" applyFill="1" applyBorder="1" applyAlignment="1">
      <alignment vertical="top"/>
    </xf>
    <xf numFmtId="0" fontId="0" fillId="0" borderId="112" xfId="0" applyFont="1" applyBorder="1" applyAlignment="1">
      <alignment vertical="top"/>
    </xf>
    <xf numFmtId="1" fontId="29" fillId="0" borderId="112" xfId="0" applyNumberFormat="1" applyFont="1" applyBorder="1" applyAlignment="1">
      <alignment vertical="top"/>
    </xf>
    <xf numFmtId="1" fontId="28" fillId="4" borderId="112" xfId="0" applyNumberFormat="1" applyFont="1" applyFill="1" applyBorder="1" applyAlignment="1">
      <alignment vertical="top"/>
    </xf>
    <xf numFmtId="0" fontId="0" fillId="0" borderId="20" xfId="0" applyFont="1" applyBorder="1" applyAlignment="1">
      <alignment vertical="top"/>
    </xf>
    <xf numFmtId="0" fontId="19" fillId="0" borderId="96" xfId="0" applyFont="1" applyFill="1" applyBorder="1" applyAlignment="1" applyProtection="1">
      <alignment vertical="center"/>
    </xf>
    <xf numFmtId="0" fontId="19" fillId="0" borderId="72" xfId="0" applyFont="1" applyFill="1" applyBorder="1" applyAlignment="1" applyProtection="1">
      <alignment vertical="center"/>
    </xf>
    <xf numFmtId="164" fontId="14" fillId="0" borderId="72" xfId="1" applyNumberFormat="1" applyFont="1" applyFill="1" applyBorder="1" applyAlignment="1" applyProtection="1">
      <alignment vertical="center"/>
    </xf>
    <xf numFmtId="164" fontId="19" fillId="0" borderId="96" xfId="1" applyNumberFormat="1" applyFont="1" applyFill="1" applyBorder="1" applyAlignment="1" applyProtection="1">
      <alignment vertical="center"/>
    </xf>
    <xf numFmtId="164" fontId="19" fillId="0" borderId="59" xfId="1" applyNumberFormat="1" applyFont="1" applyFill="1" applyBorder="1" applyAlignment="1" applyProtection="1">
      <alignment horizontal="left" vertical="center"/>
    </xf>
    <xf numFmtId="43" fontId="19" fillId="0" borderId="72" xfId="1" applyFont="1" applyFill="1" applyBorder="1" applyAlignment="1" applyProtection="1">
      <alignment vertical="center"/>
    </xf>
    <xf numFmtId="164" fontId="19" fillId="0" borderId="17" xfId="1" applyNumberFormat="1" applyFont="1" applyFill="1" applyBorder="1" applyAlignment="1" applyProtection="1">
      <alignment vertical="center"/>
    </xf>
    <xf numFmtId="164" fontId="19" fillId="0" borderId="69" xfId="1" applyNumberFormat="1" applyFont="1" applyFill="1" applyBorder="1" applyAlignment="1" applyProtection="1">
      <alignment vertical="center"/>
    </xf>
    <xf numFmtId="164" fontId="19" fillId="0" borderId="66" xfId="1" applyNumberFormat="1" applyFont="1" applyFill="1" applyBorder="1" applyAlignment="1" applyProtection="1">
      <alignment vertical="center"/>
    </xf>
    <xf numFmtId="164" fontId="19" fillId="0" borderId="58" xfId="1" applyNumberFormat="1" applyFont="1" applyFill="1" applyBorder="1" applyAlignment="1" applyProtection="1">
      <alignment vertical="center"/>
    </xf>
    <xf numFmtId="43" fontId="19" fillId="0" borderId="72" xfId="1" applyNumberFormat="1" applyFont="1" applyFill="1" applyBorder="1" applyAlignment="1" applyProtection="1">
      <alignment vertical="center"/>
    </xf>
    <xf numFmtId="43" fontId="19" fillId="0" borderId="69" xfId="1" applyFont="1" applyFill="1" applyBorder="1" applyAlignment="1" applyProtection="1">
      <alignment vertical="center"/>
    </xf>
    <xf numFmtId="43" fontId="19" fillId="0" borderId="66" xfId="1" applyFont="1" applyFill="1" applyBorder="1" applyAlignment="1" applyProtection="1">
      <alignment vertical="center"/>
    </xf>
    <xf numFmtId="43" fontId="19" fillId="0" borderId="57" xfId="1" applyFont="1" applyFill="1" applyBorder="1" applyAlignment="1" applyProtection="1">
      <alignment vertical="center"/>
    </xf>
    <xf numFmtId="43" fontId="19" fillId="0" borderId="58" xfId="1" applyFont="1" applyFill="1" applyBorder="1" applyAlignment="1" applyProtection="1">
      <alignment vertical="center"/>
    </xf>
    <xf numFmtId="43" fontId="19" fillId="0" borderId="59" xfId="1" applyFont="1" applyFill="1" applyBorder="1" applyAlignment="1" applyProtection="1">
      <alignment vertical="center"/>
    </xf>
    <xf numFmtId="43" fontId="19" fillId="0" borderId="72" xfId="0" applyNumberFormat="1" applyFont="1" applyFill="1" applyBorder="1" applyAlignment="1" applyProtection="1">
      <alignment vertical="center"/>
    </xf>
    <xf numFmtId="0" fontId="19" fillId="0" borderId="78" xfId="0" applyFont="1" applyFill="1" applyBorder="1" applyAlignment="1" applyProtection="1">
      <alignment vertical="center"/>
    </xf>
    <xf numFmtId="0" fontId="31" fillId="0" borderId="56" xfId="0" applyFont="1" applyFill="1" applyBorder="1" applyAlignment="1" applyProtection="1">
      <alignment horizontal="left" vertical="center"/>
    </xf>
    <xf numFmtId="164" fontId="14" fillId="0" borderId="56" xfId="1" applyNumberFormat="1" applyFont="1" applyFill="1" applyBorder="1" applyAlignment="1" applyProtection="1">
      <alignment vertical="center"/>
    </xf>
    <xf numFmtId="164" fontId="19" fillId="0" borderId="78" xfId="1" applyNumberFormat="1" applyFont="1" applyFill="1" applyBorder="1" applyAlignment="1" applyProtection="1">
      <alignment vertical="center"/>
    </xf>
    <xf numFmtId="164" fontId="19" fillId="0" borderId="62" xfId="1" applyNumberFormat="1" applyFont="1" applyFill="1" applyBorder="1" applyAlignment="1" applyProtection="1">
      <alignment vertical="center"/>
    </xf>
    <xf numFmtId="43" fontId="19" fillId="0" borderId="56" xfId="1" applyNumberFormat="1" applyFont="1" applyFill="1" applyBorder="1" applyAlignment="1" applyProtection="1">
      <alignment vertical="center"/>
    </xf>
    <xf numFmtId="164" fontId="19" fillId="0" borderId="56" xfId="1" applyNumberFormat="1" applyFont="1" applyFill="1" applyBorder="1" applyAlignment="1" applyProtection="1">
      <alignment vertical="center"/>
    </xf>
    <xf numFmtId="164" fontId="19" fillId="0" borderId="70" xfId="1" applyNumberFormat="1" applyFont="1" applyFill="1" applyBorder="1" applyAlignment="1" applyProtection="1">
      <alignment vertical="center"/>
    </xf>
    <xf numFmtId="164" fontId="19" fillId="0" borderId="67" xfId="1" applyNumberFormat="1" applyFont="1" applyFill="1" applyBorder="1" applyAlignment="1" applyProtection="1">
      <alignment vertical="center"/>
    </xf>
    <xf numFmtId="43" fontId="19" fillId="0" borderId="56" xfId="1" applyFont="1" applyFill="1" applyBorder="1" applyAlignment="1" applyProtection="1">
      <alignment vertical="center"/>
    </xf>
    <xf numFmtId="164" fontId="19" fillId="0" borderId="61" xfId="1" applyNumberFormat="1" applyFont="1" applyFill="1" applyBorder="1" applyAlignment="1" applyProtection="1">
      <alignment vertical="center"/>
    </xf>
    <xf numFmtId="43" fontId="19" fillId="0" borderId="70" xfId="1" applyFont="1" applyFill="1" applyBorder="1" applyAlignment="1" applyProtection="1">
      <alignment vertical="center"/>
    </xf>
    <xf numFmtId="43" fontId="19" fillId="0" borderId="67" xfId="1" applyFont="1" applyFill="1" applyBorder="1" applyAlignment="1" applyProtection="1">
      <alignment vertical="center"/>
    </xf>
    <xf numFmtId="43" fontId="19" fillId="0" borderId="60" xfId="1" applyFont="1" applyFill="1" applyBorder="1" applyAlignment="1" applyProtection="1">
      <alignment vertical="center"/>
    </xf>
    <xf numFmtId="43" fontId="19" fillId="0" borderId="61" xfId="1" applyFont="1" applyFill="1" applyBorder="1" applyAlignment="1" applyProtection="1">
      <alignment vertical="center"/>
    </xf>
    <xf numFmtId="43" fontId="19" fillId="0" borderId="62" xfId="1" applyFont="1" applyFill="1" applyBorder="1" applyAlignment="1" applyProtection="1">
      <alignment vertical="center"/>
    </xf>
    <xf numFmtId="43" fontId="19" fillId="0" borderId="56" xfId="0" applyNumberFormat="1" applyFont="1" applyFill="1" applyBorder="1" applyAlignment="1" applyProtection="1">
      <alignment vertical="center"/>
    </xf>
    <xf numFmtId="0" fontId="19" fillId="0" borderId="108" xfId="0" applyFont="1" applyFill="1" applyBorder="1" applyAlignment="1" applyProtection="1">
      <alignment vertical="center"/>
    </xf>
    <xf numFmtId="0" fontId="31" fillId="0" borderId="73" xfId="0" applyFont="1" applyFill="1" applyBorder="1" applyAlignment="1" applyProtection="1">
      <alignment horizontal="left" vertical="center"/>
    </xf>
    <xf numFmtId="164" fontId="14" fillId="0" borderId="79" xfId="1" applyNumberFormat="1" applyFont="1" applyFill="1" applyBorder="1" applyAlignment="1" applyProtection="1">
      <alignment vertical="center"/>
    </xf>
    <xf numFmtId="164" fontId="19" fillId="0" borderId="65" xfId="1" applyNumberFormat="1" applyFont="1" applyFill="1" applyBorder="1" applyAlignment="1" applyProtection="1">
      <alignment vertical="center"/>
    </xf>
    <xf numFmtId="43" fontId="19" fillId="0" borderId="79" xfId="1" applyFont="1" applyFill="1" applyBorder="1" applyAlignment="1" applyProtection="1">
      <alignment vertical="center"/>
    </xf>
    <xf numFmtId="164" fontId="19" fillId="0" borderId="115" xfId="1" applyNumberFormat="1" applyFont="1" applyFill="1" applyBorder="1" applyAlignment="1" applyProtection="1">
      <alignment vertical="center"/>
    </xf>
    <xf numFmtId="164" fontId="19" fillId="0" borderId="101" xfId="1" applyNumberFormat="1" applyFont="1" applyFill="1" applyBorder="1" applyAlignment="1" applyProtection="1">
      <alignment vertical="center"/>
    </xf>
    <xf numFmtId="164" fontId="19" fillId="0" borderId="102" xfId="1" applyNumberFormat="1" applyFont="1" applyFill="1" applyBorder="1" applyAlignment="1" applyProtection="1">
      <alignment vertical="center"/>
    </xf>
    <xf numFmtId="164" fontId="19" fillId="0" borderId="100" xfId="1" applyNumberFormat="1" applyFont="1" applyFill="1" applyBorder="1" applyAlignment="1" applyProtection="1">
      <alignment vertical="center"/>
    </xf>
    <xf numFmtId="164" fontId="14" fillId="0" borderId="73" xfId="1" applyNumberFormat="1" applyFont="1" applyFill="1" applyBorder="1" applyAlignment="1" applyProtection="1">
      <alignment vertical="center"/>
    </xf>
    <xf numFmtId="43" fontId="19" fillId="0" borderId="101" xfId="1" applyFont="1" applyFill="1" applyBorder="1" applyAlignment="1" applyProtection="1">
      <alignment vertical="center"/>
    </xf>
    <xf numFmtId="43" fontId="19" fillId="0" borderId="102" xfId="1" applyFont="1" applyFill="1" applyBorder="1" applyAlignment="1" applyProtection="1">
      <alignment vertical="center"/>
    </xf>
    <xf numFmtId="43" fontId="19" fillId="0" borderId="73" xfId="1" applyFont="1" applyFill="1" applyBorder="1" applyAlignment="1" applyProtection="1">
      <alignment vertical="center"/>
    </xf>
    <xf numFmtId="43" fontId="19" fillId="0" borderId="80" xfId="1" applyFont="1" applyFill="1" applyBorder="1" applyAlignment="1" applyProtection="1">
      <alignment vertical="center"/>
    </xf>
    <xf numFmtId="43" fontId="19" fillId="0" borderId="100" xfId="1" applyFont="1" applyFill="1" applyBorder="1" applyAlignment="1" applyProtection="1">
      <alignment vertical="center"/>
    </xf>
    <xf numFmtId="43" fontId="19" fillId="0" borderId="81" xfId="1" applyFont="1" applyFill="1" applyBorder="1" applyAlignment="1" applyProtection="1">
      <alignment vertical="center"/>
    </xf>
    <xf numFmtId="43" fontId="19" fillId="0" borderId="73" xfId="0" applyNumberFormat="1" applyFont="1" applyFill="1" applyBorder="1" applyAlignment="1" applyProtection="1">
      <alignment vertical="center"/>
    </xf>
    <xf numFmtId="0" fontId="14" fillId="0" borderId="8" xfId="0" applyFont="1" applyFill="1" applyBorder="1" applyAlignment="1" applyProtection="1">
      <alignment vertical="center"/>
    </xf>
    <xf numFmtId="0" fontId="14" fillId="2" borderId="3" xfId="0" applyFont="1" applyFill="1" applyBorder="1" applyAlignment="1" applyProtection="1">
      <alignment horizontal="center" vertical="center"/>
    </xf>
    <xf numFmtId="164" fontId="14" fillId="2" borderId="7" xfId="1" applyNumberFormat="1" applyFont="1" applyFill="1" applyBorder="1" applyAlignment="1" applyProtection="1">
      <alignment vertical="center"/>
    </xf>
    <xf numFmtId="164" fontId="14" fillId="2" borderId="1" xfId="1" applyNumberFormat="1" applyFont="1" applyFill="1" applyBorder="1" applyAlignment="1" applyProtection="1">
      <alignment vertical="center"/>
    </xf>
    <xf numFmtId="43" fontId="14" fillId="2" borderId="2" xfId="1" applyFont="1" applyFill="1" applyBorder="1" applyAlignment="1" applyProtection="1">
      <alignment vertical="center"/>
    </xf>
    <xf numFmtId="43" fontId="14" fillId="2" borderId="28" xfId="1" applyFont="1" applyFill="1" applyBorder="1" applyAlignment="1" applyProtection="1">
      <alignment vertical="center"/>
    </xf>
    <xf numFmtId="164" fontId="14" fillId="2" borderId="28" xfId="1" applyNumberFormat="1" applyFont="1" applyFill="1" applyBorder="1" applyAlignment="1" applyProtection="1">
      <alignment vertical="center"/>
    </xf>
    <xf numFmtId="164" fontId="14" fillId="2" borderId="29" xfId="1" applyNumberFormat="1" applyFont="1" applyFill="1" applyBorder="1" applyAlignment="1" applyProtection="1">
      <alignment vertical="center"/>
    </xf>
    <xf numFmtId="43" fontId="14" fillId="2" borderId="1" xfId="1" applyFont="1" applyFill="1" applyBorder="1" applyAlignment="1" applyProtection="1">
      <alignment vertical="center"/>
    </xf>
    <xf numFmtId="164" fontId="14" fillId="2" borderId="50" xfId="1" applyNumberFormat="1" applyFont="1" applyFill="1" applyBorder="1" applyAlignment="1" applyProtection="1">
      <alignment vertical="center"/>
    </xf>
    <xf numFmtId="164" fontId="14" fillId="2" borderId="2" xfId="1" applyNumberFormat="1" applyFont="1" applyFill="1" applyBorder="1" applyAlignment="1" applyProtection="1">
      <alignment vertical="center"/>
    </xf>
    <xf numFmtId="43" fontId="14" fillId="2" borderId="47" xfId="1" applyFont="1" applyFill="1" applyBorder="1" applyAlignment="1" applyProtection="1">
      <alignment vertical="center"/>
    </xf>
    <xf numFmtId="43" fontId="14" fillId="2" borderId="51" xfId="1" applyFont="1" applyFill="1" applyBorder="1" applyAlignment="1" applyProtection="1">
      <alignment vertical="center"/>
    </xf>
    <xf numFmtId="43" fontId="14" fillId="2" borderId="5" xfId="1" applyFont="1" applyFill="1" applyBorder="1" applyAlignment="1" applyProtection="1">
      <alignment vertical="center"/>
    </xf>
    <xf numFmtId="43" fontId="14" fillId="2" borderId="3" xfId="1" applyFont="1" applyFill="1" applyBorder="1" applyAlignment="1" applyProtection="1">
      <alignment vertical="center"/>
    </xf>
    <xf numFmtId="43" fontId="14" fillId="2" borderId="50" xfId="1" applyFont="1" applyFill="1" applyBorder="1" applyAlignment="1" applyProtection="1">
      <alignment vertical="center"/>
    </xf>
    <xf numFmtId="43" fontId="14" fillId="2" borderId="4" xfId="1" applyFont="1" applyFill="1" applyBorder="1" applyAlignment="1" applyProtection="1">
      <alignment vertical="center"/>
    </xf>
    <xf numFmtId="0" fontId="14" fillId="0" borderId="0" xfId="0" applyFont="1" applyFill="1" applyBorder="1" applyAlignment="1" applyProtection="1">
      <alignment horizontal="center" vertical="center"/>
    </xf>
    <xf numFmtId="164" fontId="19" fillId="0" borderId="0" xfId="0" applyNumberFormat="1" applyFont="1" applyFill="1" applyBorder="1" applyAlignment="1" applyProtection="1">
      <alignment vertical="center"/>
    </xf>
    <xf numFmtId="0" fontId="14" fillId="0" borderId="0" xfId="0" applyFont="1" applyFill="1" applyBorder="1" applyAlignment="1" applyProtection="1">
      <alignment vertical="center"/>
    </xf>
    <xf numFmtId="164" fontId="19" fillId="0" borderId="8" xfId="1" applyNumberFormat="1" applyFont="1" applyFill="1" applyBorder="1" applyAlignment="1" applyProtection="1">
      <alignment vertical="center"/>
    </xf>
    <xf numFmtId="43" fontId="19" fillId="0" borderId="8" xfId="1" applyFont="1" applyFill="1" applyBorder="1" applyAlignment="1" applyProtection="1">
      <alignment vertical="center"/>
    </xf>
    <xf numFmtId="43" fontId="19" fillId="0" borderId="119" xfId="1" applyFont="1" applyFill="1" applyBorder="1" applyAlignment="1" applyProtection="1">
      <alignment vertical="center"/>
    </xf>
    <xf numFmtId="43" fontId="19" fillId="0" borderId="120" xfId="1" applyFont="1" applyFill="1" applyBorder="1" applyAlignment="1" applyProtection="1">
      <alignment vertical="center"/>
    </xf>
    <xf numFmtId="164" fontId="19" fillId="0" borderId="36" xfId="1" applyNumberFormat="1" applyFont="1" applyFill="1" applyBorder="1" applyAlignment="1" applyProtection="1">
      <alignment vertical="center"/>
    </xf>
    <xf numFmtId="164" fontId="19" fillId="0" borderId="106" xfId="1" applyNumberFormat="1" applyFont="1" applyFill="1" applyBorder="1" applyAlignment="1" applyProtection="1">
      <alignment vertical="center"/>
    </xf>
    <xf numFmtId="43" fontId="19" fillId="0" borderId="33" xfId="1" applyFont="1" applyFill="1" applyBorder="1" applyAlignment="1" applyProtection="1">
      <alignment vertical="center"/>
    </xf>
    <xf numFmtId="164" fontId="19" fillId="0" borderId="0" xfId="1" applyNumberFormat="1" applyFont="1" applyFill="1" applyBorder="1" applyAlignment="1" applyProtection="1">
      <alignment vertical="center"/>
    </xf>
    <xf numFmtId="43" fontId="19" fillId="0" borderId="0" xfId="1" applyFont="1" applyFill="1" applyBorder="1" applyAlignment="1" applyProtection="1">
      <alignment vertical="center"/>
    </xf>
    <xf numFmtId="164" fontId="14" fillId="0" borderId="0" xfId="1" applyNumberFormat="1" applyFont="1" applyFill="1" applyBorder="1" applyAlignment="1" applyProtection="1">
      <alignment vertical="center"/>
    </xf>
    <xf numFmtId="0" fontId="19" fillId="0" borderId="0" xfId="0" applyFont="1" applyFill="1" applyBorder="1" applyAlignment="1" applyProtection="1">
      <alignment vertical="center"/>
    </xf>
    <xf numFmtId="0" fontId="19" fillId="0" borderId="12" xfId="0" applyFont="1" applyFill="1" applyBorder="1" applyAlignment="1" applyProtection="1">
      <alignment vertical="center"/>
    </xf>
    <xf numFmtId="0" fontId="19" fillId="0" borderId="12" xfId="3" applyFont="1" applyFill="1" applyBorder="1" applyAlignment="1" applyProtection="1">
      <alignment horizontal="left" vertical="center"/>
    </xf>
    <xf numFmtId="164" fontId="14" fillId="0" borderId="6" xfId="1" applyNumberFormat="1" applyFont="1" applyFill="1" applyBorder="1" applyAlignment="1" applyProtection="1">
      <alignment vertical="center"/>
    </xf>
    <xf numFmtId="164" fontId="19" fillId="0" borderId="59" xfId="1" applyNumberFormat="1" applyFont="1" applyFill="1" applyBorder="1" applyAlignment="1" applyProtection="1">
      <alignment vertical="center"/>
    </xf>
    <xf numFmtId="43" fontId="19" fillId="0" borderId="6" xfId="1" applyFont="1" applyFill="1" applyBorder="1" applyAlignment="1" applyProtection="1">
      <alignment vertical="center"/>
    </xf>
    <xf numFmtId="164" fontId="19" fillId="0" borderId="72" xfId="1" applyNumberFormat="1" applyFont="1" applyFill="1" applyBorder="1" applyAlignment="1" applyProtection="1">
      <alignment vertical="center"/>
    </xf>
    <xf numFmtId="164" fontId="19" fillId="0" borderId="24" xfId="1" applyNumberFormat="1" applyFont="1" applyFill="1" applyBorder="1" applyAlignment="1" applyProtection="1">
      <alignment vertical="center"/>
    </xf>
    <xf numFmtId="164" fontId="19" fillId="0" borderId="48" xfId="1" applyNumberFormat="1" applyFont="1" applyFill="1" applyBorder="1" applyAlignment="1" applyProtection="1">
      <alignment vertical="center"/>
    </xf>
    <xf numFmtId="43" fontId="19" fillId="0" borderId="23" xfId="1" applyFont="1" applyFill="1" applyBorder="1" applyAlignment="1" applyProtection="1">
      <alignment vertical="center"/>
    </xf>
    <xf numFmtId="164" fontId="19" fillId="0" borderId="28" xfId="1" applyNumberFormat="1" applyFont="1" applyFill="1" applyBorder="1" applyAlignment="1" applyProtection="1">
      <alignment vertical="center"/>
    </xf>
    <xf numFmtId="164" fontId="19" fillId="0" borderId="14" xfId="1" applyNumberFormat="1" applyFont="1" applyFill="1" applyBorder="1" applyAlignment="1" applyProtection="1">
      <alignment vertical="center"/>
    </xf>
    <xf numFmtId="164" fontId="19" fillId="0" borderId="29" xfId="1" applyNumberFormat="1" applyFont="1" applyFill="1" applyBorder="1" applyAlignment="1" applyProtection="1">
      <alignment vertical="center"/>
    </xf>
    <xf numFmtId="43" fontId="19" fillId="0" borderId="28" xfId="1" applyFont="1" applyFill="1" applyBorder="1" applyAlignment="1" applyProtection="1">
      <alignment vertical="center"/>
    </xf>
    <xf numFmtId="43" fontId="19" fillId="0" borderId="42" xfId="1" applyFont="1" applyFill="1" applyBorder="1" applyAlignment="1" applyProtection="1">
      <alignment vertical="center"/>
    </xf>
    <xf numFmtId="43" fontId="19" fillId="0" borderId="17" xfId="1" applyFont="1" applyFill="1" applyBorder="1" applyAlignment="1" applyProtection="1">
      <alignment vertical="center"/>
    </xf>
    <xf numFmtId="43" fontId="19" fillId="0" borderId="14" xfId="1" applyFont="1" applyFill="1" applyBorder="1" applyAlignment="1" applyProtection="1">
      <alignment vertical="center"/>
    </xf>
    <xf numFmtId="0" fontId="19" fillId="0" borderId="75" xfId="0" applyFont="1" applyFill="1" applyBorder="1" applyAlignment="1" applyProtection="1">
      <alignment vertical="center"/>
    </xf>
    <xf numFmtId="0" fontId="19" fillId="0" borderId="56" xfId="3" applyFont="1" applyFill="1" applyBorder="1" applyAlignment="1" applyProtection="1">
      <alignment horizontal="left" vertical="center"/>
    </xf>
    <xf numFmtId="164" fontId="19" fillId="0" borderId="60" xfId="1" applyNumberFormat="1" applyFont="1" applyFill="1" applyBorder="1" applyAlignment="1" applyProtection="1">
      <alignment vertical="center"/>
    </xf>
    <xf numFmtId="43" fontId="19" fillId="0" borderId="78" xfId="1" applyFont="1" applyFill="1" applyBorder="1" applyAlignment="1" applyProtection="1">
      <alignment vertical="center"/>
    </xf>
    <xf numFmtId="43" fontId="19" fillId="0" borderId="77" xfId="1" applyFont="1" applyFill="1" applyBorder="1" applyAlignment="1" applyProtection="1">
      <alignment vertical="center"/>
    </xf>
    <xf numFmtId="0" fontId="19" fillId="6" borderId="75" xfId="0" applyFont="1" applyFill="1" applyBorder="1" applyAlignment="1" applyProtection="1">
      <alignment vertical="center"/>
    </xf>
    <xf numFmtId="0" fontId="19" fillId="6" borderId="56" xfId="3" applyFont="1" applyFill="1" applyBorder="1" applyAlignment="1" applyProtection="1">
      <alignment horizontal="left" vertical="center"/>
    </xf>
    <xf numFmtId="164" fontId="14" fillId="6" borderId="56" xfId="1" applyNumberFormat="1" applyFont="1" applyFill="1" applyBorder="1" applyAlignment="1" applyProtection="1">
      <alignment vertical="center"/>
    </xf>
    <xf numFmtId="164" fontId="19" fillId="6" borderId="78" xfId="1" applyNumberFormat="1" applyFont="1" applyFill="1" applyBorder="1" applyAlignment="1" applyProtection="1">
      <alignment vertical="center"/>
    </xf>
    <xf numFmtId="164" fontId="19" fillId="6" borderId="62" xfId="1" applyNumberFormat="1" applyFont="1" applyFill="1" applyBorder="1" applyAlignment="1" applyProtection="1">
      <alignment vertical="center"/>
    </xf>
    <xf numFmtId="43" fontId="19" fillId="6" borderId="56" xfId="1" applyFont="1" applyFill="1" applyBorder="1" applyAlignment="1" applyProtection="1">
      <alignment vertical="center"/>
    </xf>
    <xf numFmtId="164" fontId="19" fillId="6" borderId="60" xfId="1" applyNumberFormat="1" applyFont="1" applyFill="1" applyBorder="1" applyAlignment="1" applyProtection="1">
      <alignment vertical="center"/>
    </xf>
    <xf numFmtId="164" fontId="19" fillId="6" borderId="67" xfId="1" applyNumberFormat="1" applyFont="1" applyFill="1" applyBorder="1" applyAlignment="1" applyProtection="1">
      <alignment vertical="center"/>
    </xf>
    <xf numFmtId="43" fontId="19" fillId="6" borderId="78" xfId="1" applyFont="1" applyFill="1" applyBorder="1" applyAlignment="1" applyProtection="1">
      <alignment vertical="center"/>
    </xf>
    <xf numFmtId="164" fontId="19" fillId="6" borderId="61" xfId="1" applyNumberFormat="1" applyFont="1" applyFill="1" applyBorder="1" applyAlignment="1" applyProtection="1">
      <alignment vertical="center"/>
    </xf>
    <xf numFmtId="43" fontId="19" fillId="6" borderId="77" xfId="1" applyFont="1" applyFill="1" applyBorder="1" applyAlignment="1" applyProtection="1">
      <alignment vertical="center"/>
    </xf>
    <xf numFmtId="43" fontId="19" fillId="6" borderId="60" xfId="1" applyFont="1" applyFill="1" applyBorder="1" applyAlignment="1" applyProtection="1">
      <alignment vertical="center"/>
    </xf>
    <xf numFmtId="43" fontId="19" fillId="6" borderId="67" xfId="1" applyFont="1" applyFill="1" applyBorder="1" applyAlignment="1" applyProtection="1">
      <alignment vertical="center"/>
    </xf>
    <xf numFmtId="43" fontId="19" fillId="6" borderId="61" xfId="1" applyFont="1" applyFill="1" applyBorder="1" applyAlignment="1" applyProtection="1">
      <alignment vertical="center"/>
    </xf>
    <xf numFmtId="0" fontId="19" fillId="0" borderId="56" xfId="3" applyFont="1" applyFill="1" applyBorder="1" applyAlignment="1" applyProtection="1">
      <alignment vertical="center"/>
    </xf>
    <xf numFmtId="0" fontId="19" fillId="0" borderId="79" xfId="3" applyFont="1" applyFill="1" applyBorder="1" applyAlignment="1" applyProtection="1">
      <alignment vertical="center"/>
    </xf>
    <xf numFmtId="0" fontId="19" fillId="0" borderId="13" xfId="0" applyFont="1" applyFill="1" applyBorder="1" applyAlignment="1" applyProtection="1">
      <alignment vertical="center"/>
    </xf>
    <xf numFmtId="164" fontId="19" fillId="0" borderId="80" xfId="1" applyNumberFormat="1" applyFont="1" applyFill="1" applyBorder="1" applyAlignment="1" applyProtection="1">
      <alignment vertical="center"/>
    </xf>
    <xf numFmtId="164" fontId="19" fillId="0" borderId="81" xfId="1" applyNumberFormat="1" applyFont="1" applyFill="1" applyBorder="1" applyAlignment="1" applyProtection="1">
      <alignment vertical="center"/>
    </xf>
    <xf numFmtId="43" fontId="19" fillId="0" borderId="109" xfId="1" applyFont="1" applyFill="1" applyBorder="1" applyAlignment="1" applyProtection="1">
      <alignment vertical="center"/>
    </xf>
    <xf numFmtId="43" fontId="19" fillId="0" borderId="99" xfId="1" applyFont="1" applyFill="1" applyBorder="1" applyAlignment="1" applyProtection="1">
      <alignment vertical="center"/>
    </xf>
    <xf numFmtId="164" fontId="14" fillId="2" borderId="47" xfId="1" applyNumberFormat="1" applyFont="1" applyFill="1" applyBorder="1" applyAlignment="1" applyProtection="1">
      <alignment vertical="center"/>
    </xf>
    <xf numFmtId="164" fontId="14" fillId="2" borderId="3" xfId="1" applyNumberFormat="1" applyFont="1" applyFill="1" applyBorder="1" applyAlignment="1" applyProtection="1">
      <alignment vertical="center"/>
    </xf>
    <xf numFmtId="43" fontId="14" fillId="2" borderId="52" xfId="1" applyFont="1" applyFill="1" applyBorder="1" applyAlignment="1" applyProtection="1">
      <alignment vertical="center"/>
    </xf>
    <xf numFmtId="164" fontId="14" fillId="0" borderId="0" xfId="0" applyNumberFormat="1" applyFont="1" applyFill="1" applyBorder="1" applyAlignment="1" applyProtection="1">
      <alignment vertical="center"/>
    </xf>
    <xf numFmtId="0" fontId="19" fillId="0" borderId="6" xfId="0" applyFont="1" applyFill="1" applyBorder="1" applyAlignment="1" applyProtection="1">
      <alignment vertical="center"/>
    </xf>
    <xf numFmtId="0" fontId="19" fillId="0" borderId="29" xfId="0" applyFont="1" applyFill="1" applyBorder="1" applyAlignment="1" applyProtection="1">
      <alignment horizontal="left" vertical="center"/>
    </xf>
    <xf numFmtId="164" fontId="19" fillId="0" borderId="57" xfId="1" applyNumberFormat="1" applyFont="1" applyFill="1" applyBorder="1" applyAlignment="1" applyProtection="1">
      <alignment vertical="center"/>
    </xf>
    <xf numFmtId="164" fontId="19" fillId="0" borderId="42" xfId="1" applyNumberFormat="1" applyFont="1" applyFill="1" applyBorder="1" applyAlignment="1" applyProtection="1">
      <alignment vertical="center"/>
    </xf>
    <xf numFmtId="43" fontId="19" fillId="0" borderId="92" xfId="1" applyFont="1" applyFill="1" applyBorder="1" applyAlignment="1" applyProtection="1">
      <alignment vertical="center"/>
    </xf>
    <xf numFmtId="0" fontId="19" fillId="0" borderId="56" xfId="0" applyFont="1" applyFill="1" applyBorder="1" applyAlignment="1" applyProtection="1">
      <alignment vertical="center"/>
    </xf>
    <xf numFmtId="0" fontId="19" fillId="0" borderId="56" xfId="0" applyFont="1" applyFill="1" applyBorder="1" applyAlignment="1" applyProtection="1">
      <alignment horizontal="left" vertical="center"/>
    </xf>
    <xf numFmtId="43" fontId="19" fillId="0" borderId="75" xfId="1" applyFont="1" applyFill="1" applyBorder="1" applyAlignment="1" applyProtection="1">
      <alignment vertical="center"/>
    </xf>
    <xf numFmtId="164" fontId="19" fillId="0" borderId="15" xfId="1" applyNumberFormat="1" applyFont="1" applyFill="1" applyBorder="1" applyAlignment="1" applyProtection="1">
      <alignment vertical="center"/>
    </xf>
    <xf numFmtId="43" fontId="19" fillId="0" borderId="94" xfId="1" applyFont="1" applyFill="1" applyBorder="1" applyAlignment="1" applyProtection="1">
      <alignment vertical="center"/>
    </xf>
    <xf numFmtId="43" fontId="19" fillId="0" borderId="95" xfId="1" applyFont="1" applyFill="1" applyBorder="1" applyAlignment="1" applyProtection="1">
      <alignment vertical="center"/>
    </xf>
    <xf numFmtId="43" fontId="19" fillId="0" borderId="97" xfId="1" applyFont="1" applyFill="1" applyBorder="1" applyAlignment="1" applyProtection="1">
      <alignment vertical="center"/>
    </xf>
    <xf numFmtId="43" fontId="19" fillId="0" borderId="98" xfId="1" applyFont="1" applyFill="1" applyBorder="1" applyAlignment="1" applyProtection="1">
      <alignment vertical="center"/>
    </xf>
    <xf numFmtId="0" fontId="19" fillId="0" borderId="79" xfId="0" applyFont="1" applyFill="1" applyBorder="1" applyAlignment="1" applyProtection="1">
      <alignment horizontal="left" vertical="center"/>
    </xf>
    <xf numFmtId="0" fontId="19" fillId="0" borderId="7" xfId="0" applyFont="1" applyFill="1" applyBorder="1" applyAlignment="1" applyProtection="1">
      <alignment vertical="center"/>
    </xf>
    <xf numFmtId="164" fontId="14" fillId="2" borderId="52" xfId="1" applyNumberFormat="1" applyFont="1" applyFill="1" applyBorder="1" applyAlignment="1" applyProtection="1">
      <alignment vertical="center"/>
    </xf>
    <xf numFmtId="164" fontId="14" fillId="2" borderId="5" xfId="1" applyNumberFormat="1" applyFont="1" applyFill="1" applyBorder="1" applyAlignment="1" applyProtection="1">
      <alignment vertical="center"/>
    </xf>
    <xf numFmtId="164" fontId="19" fillId="0" borderId="0" xfId="0" applyNumberFormat="1" applyFont="1" applyFill="1" applyAlignment="1" applyProtection="1">
      <alignment vertical="center"/>
    </xf>
    <xf numFmtId="164" fontId="14" fillId="0" borderId="0" xfId="0" applyNumberFormat="1" applyFont="1" applyFill="1" applyAlignment="1" applyProtection="1">
      <alignment vertical="center"/>
    </xf>
    <xf numFmtId="164" fontId="19" fillId="0" borderId="0" xfId="1" applyNumberFormat="1" applyFont="1" applyFill="1" applyAlignment="1" applyProtection="1">
      <alignment vertical="center"/>
    </xf>
    <xf numFmtId="164" fontId="14" fillId="0" borderId="0" xfId="1" applyNumberFormat="1" applyFont="1" applyFill="1" applyAlignment="1" applyProtection="1">
      <alignment vertical="center"/>
    </xf>
    <xf numFmtId="164" fontId="14" fillId="0" borderId="12" xfId="1" applyNumberFormat="1" applyFont="1" applyFill="1" applyBorder="1" applyAlignment="1" applyProtection="1">
      <alignment vertical="center"/>
    </xf>
    <xf numFmtId="164" fontId="14" fillId="0" borderId="75" xfId="1" applyNumberFormat="1" applyFont="1" applyFill="1" applyBorder="1" applyAlignment="1" applyProtection="1">
      <alignment vertical="center"/>
    </xf>
    <xf numFmtId="164" fontId="14" fillId="0" borderId="107" xfId="1" applyNumberFormat="1" applyFont="1" applyFill="1" applyBorder="1" applyAlignment="1" applyProtection="1">
      <alignment vertical="center"/>
    </xf>
    <xf numFmtId="164" fontId="19" fillId="0" borderId="63" xfId="1" applyNumberFormat="1" applyFont="1" applyFill="1" applyBorder="1" applyAlignment="1" applyProtection="1">
      <alignment vertical="center"/>
    </xf>
    <xf numFmtId="164" fontId="19" fillId="0" borderId="73" xfId="1" applyNumberFormat="1" applyFont="1" applyFill="1" applyBorder="1" applyAlignment="1" applyProtection="1">
      <alignment vertical="center"/>
    </xf>
    <xf numFmtId="43" fontId="19" fillId="0" borderId="73" xfId="1" applyNumberFormat="1" applyFont="1" applyFill="1" applyBorder="1" applyAlignment="1" applyProtection="1">
      <alignment vertical="center"/>
    </xf>
    <xf numFmtId="164" fontId="14" fillId="0" borderId="74" xfId="1" applyNumberFormat="1" applyFont="1" applyFill="1" applyBorder="1" applyAlignment="1" applyProtection="1">
      <alignment vertical="center"/>
    </xf>
    <xf numFmtId="43" fontId="19" fillId="0" borderId="29" xfId="1" applyFont="1" applyFill="1" applyBorder="1" applyAlignment="1" applyProtection="1">
      <alignment vertical="center"/>
    </xf>
    <xf numFmtId="43" fontId="19" fillId="0" borderId="107" xfId="1" applyFont="1" applyFill="1" applyBorder="1" applyAlignment="1" applyProtection="1">
      <alignment vertical="center"/>
    </xf>
    <xf numFmtId="164" fontId="14" fillId="2" borderId="51" xfId="1" applyNumberFormat="1" applyFont="1" applyFill="1" applyBorder="1" applyAlignment="1" applyProtection="1">
      <alignment vertical="center"/>
    </xf>
    <xf numFmtId="0" fontId="19" fillId="0" borderId="72" xfId="0" applyFont="1" applyFill="1" applyBorder="1" applyAlignment="1" applyProtection="1">
      <alignment horizontal="left" vertical="center"/>
    </xf>
    <xf numFmtId="0" fontId="19" fillId="0" borderId="19" xfId="0" applyFont="1" applyFill="1" applyBorder="1" applyAlignment="1" applyProtection="1">
      <alignment vertical="center"/>
    </xf>
    <xf numFmtId="0" fontId="19" fillId="0" borderId="11" xfId="0" applyFont="1" applyFill="1" applyBorder="1" applyAlignment="1" applyProtection="1">
      <alignment horizontal="left" vertical="center"/>
    </xf>
    <xf numFmtId="164" fontId="14" fillId="0" borderId="18" xfId="1" applyNumberFormat="1" applyFont="1" applyFill="1" applyBorder="1" applyAlignment="1" applyProtection="1">
      <alignment vertical="center"/>
    </xf>
    <xf numFmtId="43" fontId="19" fillId="0" borderId="30" xfId="1" applyFont="1" applyFill="1" applyBorder="1" applyAlignment="1" applyProtection="1">
      <alignment vertical="center"/>
    </xf>
    <xf numFmtId="43" fontId="19" fillId="0" borderId="0" xfId="1" applyNumberFormat="1" applyFont="1" applyFill="1" applyBorder="1" applyAlignment="1" applyProtection="1">
      <alignment vertical="center"/>
    </xf>
    <xf numFmtId="43" fontId="19" fillId="0" borderId="11" xfId="1" applyFont="1" applyFill="1" applyBorder="1" applyAlignment="1" applyProtection="1">
      <alignment vertical="center"/>
    </xf>
    <xf numFmtId="43" fontId="19" fillId="0" borderId="24" xfId="1" applyFont="1" applyFill="1" applyBorder="1" applyAlignment="1" applyProtection="1">
      <alignment vertical="center"/>
    </xf>
    <xf numFmtId="43" fontId="19" fillId="0" borderId="48" xfId="1" applyFont="1" applyFill="1" applyBorder="1" applyAlignment="1" applyProtection="1">
      <alignment vertical="center"/>
    </xf>
    <xf numFmtId="43" fontId="19" fillId="0" borderId="15" xfId="1" applyFont="1" applyFill="1" applyBorder="1" applyAlignment="1" applyProtection="1">
      <alignment vertical="center"/>
    </xf>
    <xf numFmtId="0" fontId="19" fillId="0" borderId="6" xfId="0" applyFont="1" applyFill="1" applyBorder="1" applyAlignment="1" applyProtection="1">
      <alignment horizontal="left" vertical="center"/>
    </xf>
    <xf numFmtId="0" fontId="19" fillId="0" borderId="79" xfId="0" applyFont="1" applyFill="1" applyBorder="1" applyAlignment="1" applyProtection="1">
      <alignment vertical="center"/>
    </xf>
    <xf numFmtId="0" fontId="19" fillId="0" borderId="73" xfId="0" applyFont="1" applyFill="1" applyBorder="1" applyAlignment="1" applyProtection="1">
      <alignment vertical="center"/>
    </xf>
    <xf numFmtId="0" fontId="19" fillId="0" borderId="7" xfId="0" applyFont="1" applyFill="1" applyBorder="1" applyAlignment="1" applyProtection="1">
      <alignment horizontal="left" vertical="center"/>
    </xf>
    <xf numFmtId="164" fontId="14" fillId="0" borderId="76" xfId="1" applyNumberFormat="1" applyFont="1" applyFill="1" applyBorder="1" applyAlignment="1" applyProtection="1">
      <alignment vertical="center"/>
    </xf>
    <xf numFmtId="43" fontId="19" fillId="0" borderId="65" xfId="1" applyFont="1" applyFill="1" applyBorder="1" applyAlignment="1" applyProtection="1">
      <alignment vertical="center"/>
    </xf>
    <xf numFmtId="43" fontId="19" fillId="0" borderId="93" xfId="1" applyFont="1" applyFill="1" applyBorder="1" applyAlignment="1" applyProtection="1">
      <alignment vertical="center"/>
    </xf>
    <xf numFmtId="164" fontId="19" fillId="0" borderId="68" xfId="1" applyNumberFormat="1" applyFont="1" applyFill="1" applyBorder="1" applyAlignment="1" applyProtection="1">
      <alignment vertical="center"/>
    </xf>
    <xf numFmtId="43" fontId="19" fillId="0" borderId="108" xfId="1" applyFont="1" applyFill="1" applyBorder="1" applyAlignment="1" applyProtection="1">
      <alignment vertical="center"/>
    </xf>
    <xf numFmtId="164" fontId="19" fillId="0" borderId="64" xfId="1" applyNumberFormat="1" applyFont="1" applyFill="1" applyBorder="1" applyAlignment="1" applyProtection="1">
      <alignment vertical="center"/>
    </xf>
    <xf numFmtId="43" fontId="19" fillId="0" borderId="63" xfId="1" applyFont="1" applyFill="1" applyBorder="1" applyAlignment="1" applyProtection="1">
      <alignment vertical="center"/>
    </xf>
    <xf numFmtId="43" fontId="19" fillId="0" borderId="68" xfId="1" applyFont="1" applyFill="1" applyBorder="1" applyAlignment="1" applyProtection="1">
      <alignment vertical="center"/>
    </xf>
    <xf numFmtId="43" fontId="19" fillId="0" borderId="64" xfId="1" applyFont="1" applyFill="1" applyBorder="1" applyAlignment="1" applyProtection="1">
      <alignment vertical="center"/>
    </xf>
    <xf numFmtId="0" fontId="14" fillId="2" borderId="19" xfId="0" applyFont="1" applyFill="1" applyBorder="1" applyAlignment="1" applyProtection="1">
      <alignment horizontal="center" vertical="center"/>
    </xf>
    <xf numFmtId="164" fontId="14" fillId="2" borderId="37" xfId="1" applyNumberFormat="1" applyFont="1" applyFill="1" applyBorder="1" applyAlignment="1" applyProtection="1">
      <alignment vertical="center"/>
    </xf>
    <xf numFmtId="164" fontId="14" fillId="2" borderId="19" xfId="1" applyNumberFormat="1" applyFont="1" applyFill="1" applyBorder="1" applyAlignment="1" applyProtection="1">
      <alignment vertical="center"/>
    </xf>
    <xf numFmtId="43" fontId="14" fillId="2" borderId="32" xfId="1" applyFont="1" applyFill="1" applyBorder="1" applyAlignment="1" applyProtection="1">
      <alignment vertical="center"/>
    </xf>
    <xf numFmtId="43" fontId="14" fillId="2" borderId="31" xfId="1" applyFont="1" applyFill="1" applyBorder="1" applyAlignment="1" applyProtection="1">
      <alignment vertical="center"/>
    </xf>
    <xf numFmtId="164" fontId="14" fillId="2" borderId="31" xfId="1" applyNumberFormat="1" applyFont="1" applyFill="1" applyBorder="1" applyAlignment="1" applyProtection="1">
      <alignment vertical="center"/>
    </xf>
    <xf numFmtId="164" fontId="14" fillId="2" borderId="9" xfId="1" applyNumberFormat="1" applyFont="1" applyFill="1" applyBorder="1" applyAlignment="1" applyProtection="1">
      <alignment vertical="center"/>
    </xf>
    <xf numFmtId="164" fontId="14" fillId="2" borderId="10" xfId="1" applyNumberFormat="1" applyFont="1" applyFill="1" applyBorder="1" applyAlignment="1" applyProtection="1">
      <alignment vertical="center"/>
    </xf>
    <xf numFmtId="43" fontId="14" fillId="2" borderId="7" xfId="1" applyFont="1" applyFill="1" applyBorder="1" applyAlignment="1" applyProtection="1">
      <alignment vertical="center"/>
    </xf>
    <xf numFmtId="43" fontId="14" fillId="2" borderId="10" xfId="1" applyFont="1" applyFill="1" applyBorder="1" applyAlignment="1" applyProtection="1">
      <alignment vertical="center"/>
    </xf>
    <xf numFmtId="43" fontId="14" fillId="2" borderId="37" xfId="1" applyFont="1" applyFill="1" applyBorder="1" applyAlignment="1" applyProtection="1">
      <alignment vertical="center"/>
    </xf>
    <xf numFmtId="43" fontId="14" fillId="2" borderId="19" xfId="1" applyFont="1" applyFill="1" applyBorder="1" applyAlignment="1" applyProtection="1">
      <alignment vertical="center"/>
    </xf>
    <xf numFmtId="43" fontId="14" fillId="2" borderId="9" xfId="1" applyFont="1" applyFill="1" applyBorder="1" applyAlignment="1" applyProtection="1">
      <alignment vertical="center"/>
    </xf>
    <xf numFmtId="0" fontId="14" fillId="0" borderId="0" xfId="0" applyFont="1" applyFill="1" applyBorder="1" applyAlignment="1" applyProtection="1">
      <alignment horizontal="left" vertical="center"/>
    </xf>
    <xf numFmtId="164" fontId="19" fillId="0" borderId="0" xfId="0" applyNumberFormat="1" applyFont="1"/>
    <xf numFmtId="164" fontId="19" fillId="0" borderId="0" xfId="1" applyNumberFormat="1" applyFont="1"/>
    <xf numFmtId="43" fontId="19" fillId="0" borderId="0" xfId="1" applyFont="1"/>
    <xf numFmtId="0" fontId="19" fillId="0" borderId="0" xfId="0" applyFont="1"/>
    <xf numFmtId="0" fontId="14" fillId="3" borderId="84" xfId="0" applyFont="1" applyFill="1" applyBorder="1" applyAlignment="1" applyProtection="1">
      <alignment horizontal="center" vertical="center"/>
    </xf>
    <xf numFmtId="164" fontId="14" fillId="3" borderId="83" xfId="1" applyNumberFormat="1" applyFont="1" applyFill="1" applyBorder="1"/>
    <xf numFmtId="164" fontId="14" fillId="3" borderId="85" xfId="1" applyNumberFormat="1" applyFont="1" applyFill="1" applyBorder="1"/>
    <xf numFmtId="43" fontId="14" fillId="3" borderId="86" xfId="1" applyFont="1" applyFill="1" applyBorder="1"/>
    <xf numFmtId="164" fontId="14" fillId="3" borderId="86" xfId="1" applyNumberFormat="1" applyFont="1" applyFill="1" applyBorder="1"/>
    <xf numFmtId="164" fontId="14" fillId="3" borderId="44" xfId="1" applyNumberFormat="1" applyFont="1" applyFill="1" applyBorder="1"/>
    <xf numFmtId="43" fontId="14" fillId="3" borderId="43" xfId="1" applyFont="1" applyFill="1" applyBorder="1"/>
    <xf numFmtId="164" fontId="14" fillId="0" borderId="0" xfId="1" applyNumberFormat="1" applyFont="1" applyFill="1" applyBorder="1"/>
    <xf numFmtId="43" fontId="14" fillId="0" borderId="0" xfId="1" applyFont="1" applyFill="1" applyBorder="1"/>
    <xf numFmtId="1" fontId="32" fillId="0" borderId="60" xfId="0" applyNumberFormat="1" applyFont="1" applyBorder="1" applyAlignment="1">
      <alignment vertical="top"/>
    </xf>
    <xf numFmtId="1" fontId="32" fillId="0" borderId="61" xfId="0" applyNumberFormat="1" applyFont="1" applyBorder="1" applyAlignment="1">
      <alignment vertical="top"/>
    </xf>
    <xf numFmtId="1" fontId="32" fillId="0" borderId="62" xfId="0" applyNumberFormat="1" applyFont="1" applyBorder="1" applyAlignment="1">
      <alignment vertical="top"/>
    </xf>
    <xf numFmtId="1" fontId="32" fillId="0" borderId="117" xfId="0" applyNumberFormat="1" applyFont="1" applyBorder="1" applyAlignment="1">
      <alignment vertical="top"/>
    </xf>
    <xf numFmtId="1" fontId="32" fillId="0" borderId="118" xfId="0" applyNumberFormat="1" applyFont="1" applyBorder="1" applyAlignment="1">
      <alignment vertical="top"/>
    </xf>
    <xf numFmtId="1" fontId="32" fillId="0" borderId="122" xfId="0" applyNumberFormat="1" applyFont="1" applyBorder="1" applyAlignment="1">
      <alignment vertical="top"/>
    </xf>
    <xf numFmtId="1" fontId="32" fillId="0" borderId="63" xfId="0" applyNumberFormat="1" applyFont="1" applyBorder="1" applyAlignment="1">
      <alignment vertical="top"/>
    </xf>
    <xf numFmtId="1" fontId="32" fillId="0" borderId="64" xfId="0" applyNumberFormat="1" applyFont="1" applyBorder="1" applyAlignment="1">
      <alignment vertical="top"/>
    </xf>
    <xf numFmtId="1" fontId="32" fillId="0" borderId="65" xfId="0" applyNumberFormat="1" applyFont="1" applyBorder="1" applyAlignment="1">
      <alignment vertical="top"/>
    </xf>
    <xf numFmtId="1" fontId="32" fillId="0" borderId="57" xfId="0" applyNumberFormat="1" applyFont="1" applyBorder="1" applyAlignment="1">
      <alignment vertical="top"/>
    </xf>
    <xf numFmtId="1" fontId="32" fillId="0" borderId="58" xfId="0" applyNumberFormat="1" applyFont="1" applyBorder="1" applyAlignment="1">
      <alignment vertical="top"/>
    </xf>
    <xf numFmtId="1" fontId="32" fillId="0" borderId="59" xfId="0" applyNumberFormat="1" applyFont="1" applyBorder="1" applyAlignment="1">
      <alignment vertical="top"/>
    </xf>
    <xf numFmtId="1" fontId="32" fillId="0" borderId="95" xfId="0" applyNumberFormat="1" applyFont="1" applyBorder="1" applyAlignment="1">
      <alignment vertical="top"/>
    </xf>
    <xf numFmtId="1" fontId="32" fillId="0" borderId="97" xfId="0" applyNumberFormat="1" applyFont="1" applyBorder="1" applyAlignment="1">
      <alignment vertical="top"/>
    </xf>
    <xf numFmtId="1" fontId="32" fillId="0" borderId="98" xfId="0" applyNumberFormat="1" applyFont="1" applyBorder="1" applyAlignment="1">
      <alignment vertical="top"/>
    </xf>
    <xf numFmtId="0" fontId="5" fillId="6" borderId="70" xfId="0" applyFont="1" applyFill="1" applyBorder="1" applyAlignment="1" applyProtection="1">
      <alignment horizontal="right" vertical="center"/>
    </xf>
    <xf numFmtId="43" fontId="2" fillId="6" borderId="18" xfId="1" applyFont="1" applyFill="1" applyBorder="1" applyAlignment="1" applyProtection="1">
      <alignment horizontal="right" vertical="center"/>
    </xf>
    <xf numFmtId="43" fontId="2" fillId="6" borderId="0" xfId="1" applyFont="1" applyFill="1" applyBorder="1" applyAlignment="1" applyProtection="1">
      <alignment horizontal="right" vertical="center"/>
    </xf>
    <xf numFmtId="0" fontId="5" fillId="6" borderId="60" xfId="0" applyFont="1" applyFill="1" applyBorder="1" applyAlignment="1" applyProtection="1">
      <alignment horizontal="right" vertical="center"/>
    </xf>
    <xf numFmtId="0" fontId="5" fillId="6" borderId="75" xfId="0" applyFont="1" applyFill="1" applyBorder="1" applyAlignment="1" applyProtection="1">
      <alignment horizontal="right" vertical="center"/>
    </xf>
    <xf numFmtId="0" fontId="5" fillId="6" borderId="61" xfId="0" applyFont="1" applyFill="1" applyBorder="1" applyAlignment="1" applyProtection="1">
      <alignment horizontal="right" vertical="center"/>
    </xf>
    <xf numFmtId="0" fontId="5" fillId="6" borderId="62" xfId="0" applyFont="1" applyFill="1" applyBorder="1" applyAlignment="1" applyProtection="1">
      <alignment horizontal="right" vertical="center"/>
    </xf>
    <xf numFmtId="43" fontId="5" fillId="6" borderId="75" xfId="1" applyFont="1" applyFill="1" applyBorder="1" applyAlignment="1" applyProtection="1">
      <alignment horizontal="right" vertical="center"/>
    </xf>
    <xf numFmtId="43" fontId="5" fillId="6" borderId="77" xfId="1" applyFont="1" applyFill="1" applyBorder="1" applyAlignment="1" applyProtection="1">
      <alignment horizontal="right" vertical="center"/>
    </xf>
    <xf numFmtId="43" fontId="5" fillId="6" borderId="61" xfId="1" applyFont="1" applyFill="1" applyBorder="1" applyAlignment="1" applyProtection="1">
      <alignment horizontal="right" vertical="center"/>
    </xf>
    <xf numFmtId="43" fontId="5" fillId="6" borderId="62" xfId="1" applyFont="1" applyFill="1" applyBorder="1" applyAlignment="1" applyProtection="1">
      <alignment horizontal="right" vertical="center"/>
    </xf>
    <xf numFmtId="0" fontId="5" fillId="0" borderId="60" xfId="0" applyFont="1" applyFill="1" applyBorder="1" applyAlignment="1" applyProtection="1">
      <alignment horizontal="right"/>
    </xf>
    <xf numFmtId="43" fontId="5" fillId="6" borderId="67" xfId="1" applyFont="1" applyFill="1" applyBorder="1" applyAlignment="1" applyProtection="1">
      <alignment horizontal="right" vertical="center"/>
    </xf>
    <xf numFmtId="43" fontId="5" fillId="6" borderId="56" xfId="1" applyFont="1" applyFill="1" applyBorder="1" applyAlignment="1" applyProtection="1">
      <alignment horizontal="right" vertical="center"/>
    </xf>
    <xf numFmtId="0" fontId="5" fillId="0" borderId="62" xfId="0" applyFont="1" applyFill="1" applyBorder="1" applyAlignment="1" applyProtection="1">
      <alignment horizontal="right"/>
    </xf>
    <xf numFmtId="0" fontId="5" fillId="0" borderId="70" xfId="0" applyFont="1" applyFill="1" applyBorder="1" applyAlignment="1" applyProtection="1">
      <alignment horizontal="right"/>
    </xf>
    <xf numFmtId="0" fontId="5" fillId="0" borderId="61" xfId="0" applyFont="1" applyFill="1" applyBorder="1" applyAlignment="1" applyProtection="1">
      <alignment horizontal="right"/>
    </xf>
    <xf numFmtId="0" fontId="5" fillId="0" borderId="70" xfId="0" applyFont="1" applyFill="1" applyBorder="1" applyAlignment="1" applyProtection="1">
      <alignment horizontal="right" vertical="center"/>
    </xf>
    <xf numFmtId="43" fontId="5" fillId="0" borderId="75" xfId="1" applyFont="1" applyFill="1" applyBorder="1" applyAlignment="1" applyProtection="1">
      <alignment horizontal="right" vertical="center"/>
    </xf>
    <xf numFmtId="43" fontId="5" fillId="0" borderId="77" xfId="1" applyFont="1" applyFill="1" applyBorder="1" applyAlignment="1" applyProtection="1">
      <alignment horizontal="right" vertical="center"/>
    </xf>
    <xf numFmtId="0" fontId="5" fillId="0" borderId="60" xfId="0" applyFont="1" applyFill="1" applyBorder="1" applyAlignment="1" applyProtection="1">
      <alignment horizontal="right" vertical="center"/>
    </xf>
    <xf numFmtId="0" fontId="5" fillId="0" borderId="75" xfId="0" applyFont="1" applyFill="1" applyBorder="1" applyAlignment="1" applyProtection="1">
      <alignment horizontal="right" vertical="center"/>
    </xf>
    <xf numFmtId="0" fontId="5" fillId="0" borderId="61" xfId="0" applyFont="1" applyFill="1" applyBorder="1" applyAlignment="1" applyProtection="1">
      <alignment horizontal="right" vertical="center"/>
    </xf>
    <xf numFmtId="0" fontId="5" fillId="0" borderId="62" xfId="0" applyFont="1" applyFill="1" applyBorder="1" applyAlignment="1" applyProtection="1">
      <alignment horizontal="right" vertical="center"/>
    </xf>
    <xf numFmtId="164" fontId="5" fillId="0" borderId="75" xfId="1" applyNumberFormat="1" applyFont="1" applyFill="1" applyBorder="1" applyAlignment="1" applyProtection="1">
      <alignment horizontal="right" vertical="center"/>
    </xf>
    <xf numFmtId="164" fontId="5" fillId="0" borderId="61" xfId="1" applyNumberFormat="1" applyFont="1" applyFill="1" applyBorder="1" applyAlignment="1" applyProtection="1">
      <alignment horizontal="right" vertical="center"/>
    </xf>
    <xf numFmtId="0" fontId="5" fillId="0" borderId="37" xfId="0" applyFont="1" applyFill="1" applyBorder="1" applyAlignment="1" applyProtection="1">
      <alignment horizontal="right" vertical="center"/>
    </xf>
    <xf numFmtId="43" fontId="5" fillId="0" borderId="13" xfId="1" applyFont="1" applyFill="1" applyBorder="1" applyAlignment="1" applyProtection="1">
      <alignment horizontal="right" vertical="center"/>
    </xf>
    <xf numFmtId="43" fontId="5" fillId="0" borderId="10" xfId="1" applyFont="1" applyFill="1" applyBorder="1" applyAlignment="1" applyProtection="1">
      <alignment horizontal="right" vertical="center"/>
    </xf>
    <xf numFmtId="0" fontId="5" fillId="0" borderId="31" xfId="0" applyFont="1" applyFill="1" applyBorder="1" applyAlignment="1" applyProtection="1">
      <alignment horizontal="right" vertical="center"/>
    </xf>
    <xf numFmtId="0" fontId="5" fillId="0" borderId="13" xfId="0" applyFont="1" applyFill="1" applyBorder="1" applyAlignment="1" applyProtection="1">
      <alignment horizontal="right" vertical="center"/>
    </xf>
    <xf numFmtId="0" fontId="5" fillId="0" borderId="9" xfId="0" applyFont="1" applyFill="1" applyBorder="1" applyAlignment="1" applyProtection="1">
      <alignment horizontal="right" vertical="center"/>
    </xf>
    <xf numFmtId="0" fontId="5" fillId="0" borderId="5" xfId="0" applyFont="1" applyFill="1" applyBorder="1" applyAlignment="1" applyProtection="1">
      <alignment horizontal="right" vertical="center"/>
    </xf>
    <xf numFmtId="0" fontId="5" fillId="0" borderId="5" xfId="3" applyFont="1" applyFill="1" applyBorder="1" applyAlignment="1" applyProtection="1">
      <alignment horizontal="right" vertical="center"/>
    </xf>
    <xf numFmtId="0" fontId="5" fillId="0" borderId="4" xfId="0" applyFont="1" applyFill="1" applyBorder="1" applyAlignment="1" applyProtection="1">
      <alignment horizontal="right" vertical="center"/>
    </xf>
    <xf numFmtId="0" fontId="5" fillId="0" borderId="0" xfId="0" applyFont="1" applyFill="1" applyBorder="1" applyAlignment="1" applyProtection="1">
      <alignment horizontal="right" vertical="center"/>
    </xf>
    <xf numFmtId="0" fontId="5" fillId="0" borderId="0" xfId="3" applyFont="1" applyFill="1" applyBorder="1" applyAlignment="1" applyProtection="1">
      <alignment horizontal="right" vertical="center"/>
    </xf>
    <xf numFmtId="0" fontId="5" fillId="0" borderId="18" xfId="0" applyFont="1" applyFill="1" applyBorder="1" applyAlignment="1" applyProtection="1">
      <alignment horizontal="right" vertical="center"/>
    </xf>
    <xf numFmtId="0" fontId="5" fillId="0" borderId="16" xfId="0" applyFont="1" applyFill="1" applyBorder="1" applyAlignment="1" applyProtection="1">
      <alignment horizontal="right" vertical="center"/>
    </xf>
    <xf numFmtId="43" fontId="5" fillId="0" borderId="18" xfId="1" applyFont="1" applyFill="1" applyBorder="1" applyAlignment="1" applyProtection="1">
      <alignment horizontal="right" vertical="center"/>
    </xf>
    <xf numFmtId="43" fontId="5" fillId="0" borderId="0" xfId="1" applyFont="1" applyFill="1" applyBorder="1" applyAlignment="1" applyProtection="1">
      <alignment horizontal="right" vertical="center"/>
    </xf>
    <xf numFmtId="0" fontId="5" fillId="0" borderId="24" xfId="0" applyFont="1" applyFill="1" applyBorder="1" applyAlignment="1" applyProtection="1">
      <alignment horizontal="right" vertical="center"/>
    </xf>
    <xf numFmtId="0" fontId="5" fillId="0" borderId="15" xfId="0" applyFont="1" applyFill="1" applyBorder="1" applyAlignment="1" applyProtection="1">
      <alignment horizontal="right" vertical="center"/>
    </xf>
    <xf numFmtId="0" fontId="5" fillId="0" borderId="30" xfId="0" applyFont="1" applyFill="1" applyBorder="1" applyAlignment="1" applyProtection="1">
      <alignment horizontal="right" vertical="center"/>
    </xf>
    <xf numFmtId="43" fontId="5" fillId="6" borderId="60" xfId="1" applyFont="1" applyFill="1" applyBorder="1" applyAlignment="1" applyProtection="1">
      <alignment horizontal="right" vertical="center"/>
    </xf>
    <xf numFmtId="0" fontId="5" fillId="0" borderId="113" xfId="0" applyFont="1" applyFill="1" applyBorder="1" applyAlignment="1" applyProtection="1">
      <alignment horizontal="right" vertical="center"/>
    </xf>
    <xf numFmtId="43" fontId="5" fillId="0" borderId="114" xfId="1" applyFont="1" applyFill="1" applyBorder="1" applyAlignment="1" applyProtection="1">
      <alignment horizontal="right" vertical="center"/>
    </xf>
    <xf numFmtId="43" fontId="5" fillId="0" borderId="110" xfId="1" applyFont="1" applyFill="1" applyBorder="1" applyAlignment="1" applyProtection="1">
      <alignment horizontal="right" vertical="center"/>
    </xf>
    <xf numFmtId="0" fontId="5" fillId="0" borderId="95" xfId="0" applyFont="1" applyFill="1" applyBorder="1" applyAlignment="1" applyProtection="1">
      <alignment horizontal="right" vertical="center"/>
    </xf>
    <xf numFmtId="164" fontId="5" fillId="0" borderId="114" xfId="1" applyNumberFormat="1" applyFont="1" applyFill="1" applyBorder="1" applyAlignment="1" applyProtection="1">
      <alignment horizontal="right" vertical="center"/>
    </xf>
    <xf numFmtId="0" fontId="5" fillId="0" borderId="97" xfId="0" applyFont="1" applyFill="1" applyBorder="1" applyAlignment="1" applyProtection="1">
      <alignment horizontal="right" vertical="center"/>
    </xf>
    <xf numFmtId="0" fontId="5" fillId="0" borderId="114" xfId="0" applyFont="1" applyFill="1" applyBorder="1" applyAlignment="1" applyProtection="1">
      <alignment horizontal="right" vertical="center"/>
    </xf>
    <xf numFmtId="0" fontId="5" fillId="0" borderId="71" xfId="0" applyFont="1" applyFill="1" applyBorder="1" applyAlignment="1" applyProtection="1">
      <alignment horizontal="right" vertical="center"/>
    </xf>
    <xf numFmtId="43" fontId="5" fillId="0" borderId="76" xfId="1" applyFont="1" applyFill="1" applyBorder="1" applyAlignment="1" applyProtection="1">
      <alignment horizontal="right" vertical="center"/>
    </xf>
    <xf numFmtId="43" fontId="5" fillId="0" borderId="93" xfId="1" applyFont="1" applyFill="1" applyBorder="1" applyAlignment="1" applyProtection="1">
      <alignment horizontal="right" vertical="center"/>
    </xf>
    <xf numFmtId="0" fontId="5" fillId="0" borderId="63" xfId="0" applyFont="1" applyFill="1" applyBorder="1" applyAlignment="1" applyProtection="1">
      <alignment horizontal="right" vertical="center"/>
    </xf>
    <xf numFmtId="164" fontId="5" fillId="0" borderId="76" xfId="1" applyNumberFormat="1" applyFont="1" applyFill="1" applyBorder="1" applyAlignment="1" applyProtection="1">
      <alignment horizontal="right" vertical="center"/>
    </xf>
    <xf numFmtId="164" fontId="5" fillId="0" borderId="64" xfId="1" applyNumberFormat="1" applyFont="1" applyFill="1" applyBorder="1" applyAlignment="1" applyProtection="1">
      <alignment horizontal="right" vertical="center"/>
    </xf>
    <xf numFmtId="164" fontId="5" fillId="0" borderId="5" xfId="1" applyNumberFormat="1" applyFont="1" applyFill="1" applyBorder="1" applyAlignment="1" applyProtection="1">
      <alignment horizontal="right" vertical="center"/>
    </xf>
    <xf numFmtId="164" fontId="5" fillId="0" borderId="4" xfId="1" applyNumberFormat="1" applyFont="1" applyFill="1" applyBorder="1" applyAlignment="1" applyProtection="1">
      <alignment horizontal="right" vertical="center"/>
    </xf>
    <xf numFmtId="43" fontId="5" fillId="0" borderId="61" xfId="1" applyFont="1" applyFill="1" applyBorder="1" applyAlignment="1" applyProtection="1">
      <alignment horizontal="right" vertical="center"/>
    </xf>
    <xf numFmtId="164" fontId="5" fillId="0" borderId="70" xfId="1" applyNumberFormat="1" applyFont="1" applyFill="1" applyBorder="1" applyAlignment="1" applyProtection="1">
      <alignment horizontal="right" vertical="center"/>
    </xf>
    <xf numFmtId="164" fontId="5" fillId="0" borderId="77" xfId="1" applyNumberFormat="1" applyFont="1" applyFill="1" applyBorder="1" applyAlignment="1" applyProtection="1">
      <alignment horizontal="right" vertical="center"/>
    </xf>
    <xf numFmtId="164" fontId="5" fillId="0" borderId="113" xfId="1" applyNumberFormat="1" applyFont="1" applyFill="1" applyBorder="1" applyAlignment="1" applyProtection="1">
      <alignment horizontal="right" vertical="center"/>
    </xf>
    <xf numFmtId="0" fontId="5" fillId="6" borderId="95" xfId="0" applyFont="1" applyFill="1" applyBorder="1" applyAlignment="1" applyProtection="1">
      <alignment horizontal="right" vertical="center"/>
    </xf>
    <xf numFmtId="164" fontId="5" fillId="0" borderId="97" xfId="1" applyNumberFormat="1" applyFont="1" applyFill="1" applyBorder="1" applyAlignment="1" applyProtection="1">
      <alignment horizontal="right" vertical="center"/>
    </xf>
    <xf numFmtId="164" fontId="5" fillId="0" borderId="63" xfId="1" applyNumberFormat="1" applyFont="1" applyFill="1" applyBorder="1" applyAlignment="1" applyProtection="1">
      <alignment horizontal="right" vertical="center"/>
    </xf>
    <xf numFmtId="43" fontId="5" fillId="0" borderId="64" xfId="1" applyFont="1" applyFill="1" applyBorder="1" applyAlignment="1" applyProtection="1">
      <alignment horizontal="right" vertical="center"/>
    </xf>
    <xf numFmtId="0" fontId="5" fillId="0" borderId="76" xfId="0" applyFont="1" applyFill="1" applyBorder="1" applyAlignment="1" applyProtection="1">
      <alignment horizontal="right" vertical="center"/>
    </xf>
    <xf numFmtId="43" fontId="5" fillId="0" borderId="24" xfId="1" applyFont="1" applyFill="1" applyBorder="1" applyAlignment="1" applyProtection="1">
      <alignment horizontal="right" vertical="center"/>
    </xf>
    <xf numFmtId="43" fontId="5" fillId="0" borderId="15" xfId="1" applyFont="1" applyFill="1" applyBorder="1" applyAlignment="1" applyProtection="1">
      <alignment horizontal="right" vertical="center"/>
    </xf>
    <xf numFmtId="43" fontId="5" fillId="0" borderId="30" xfId="1" applyFont="1" applyFill="1" applyBorder="1" applyAlignment="1" applyProtection="1">
      <alignment horizontal="right" vertical="center"/>
    </xf>
    <xf numFmtId="43" fontId="5" fillId="0" borderId="62" xfId="1" applyFont="1" applyFill="1" applyBorder="1" applyAlignment="1" applyProtection="1">
      <alignment horizontal="right" vertical="center"/>
    </xf>
    <xf numFmtId="164" fontId="5" fillId="0" borderId="60" xfId="1" applyNumberFormat="1" applyFont="1" applyFill="1" applyBorder="1" applyAlignment="1" applyProtection="1">
      <alignment horizontal="right" vertical="center"/>
    </xf>
    <xf numFmtId="43" fontId="5" fillId="0" borderId="9" xfId="1" applyFont="1" applyFill="1" applyBorder="1" applyAlignment="1" applyProtection="1">
      <alignment horizontal="right" vertical="center"/>
    </xf>
    <xf numFmtId="0" fontId="5" fillId="0" borderId="0" xfId="0" applyFont="1" applyFill="1" applyAlignment="1" applyProtection="1">
      <alignment horizontal="right" vertical="center"/>
    </xf>
    <xf numFmtId="0" fontId="5" fillId="0" borderId="28" xfId="0" applyFont="1" applyFill="1" applyBorder="1" applyAlignment="1" applyProtection="1">
      <alignment horizontal="right" vertical="center"/>
    </xf>
    <xf numFmtId="43" fontId="5" fillId="0" borderId="12" xfId="1" applyFont="1" applyFill="1" applyBorder="1" applyAlignment="1" applyProtection="1">
      <alignment horizontal="right" vertical="center"/>
    </xf>
    <xf numFmtId="43" fontId="5" fillId="0" borderId="8" xfId="1" applyFont="1" applyFill="1" applyBorder="1" applyAlignment="1" applyProtection="1">
      <alignment horizontal="right" vertical="center"/>
    </xf>
    <xf numFmtId="43" fontId="5" fillId="0" borderId="14" xfId="1" applyFont="1" applyFill="1" applyBorder="1" applyAlignment="1" applyProtection="1">
      <alignment horizontal="right" vertical="center"/>
    </xf>
    <xf numFmtId="43" fontId="5" fillId="0" borderId="29" xfId="1" applyFont="1" applyFill="1" applyBorder="1" applyAlignment="1" applyProtection="1">
      <alignment horizontal="right" vertical="center"/>
    </xf>
    <xf numFmtId="1" fontId="5" fillId="0" borderId="60" xfId="1" applyNumberFormat="1" applyFont="1" applyFill="1" applyBorder="1" applyAlignment="1" applyProtection="1">
      <alignment horizontal="right" vertical="center"/>
    </xf>
    <xf numFmtId="1" fontId="5" fillId="0" borderId="75" xfId="1" applyNumberFormat="1" applyFont="1" applyFill="1" applyBorder="1" applyAlignment="1" applyProtection="1">
      <alignment horizontal="right" vertical="center"/>
    </xf>
    <xf numFmtId="164" fontId="5" fillId="0" borderId="62" xfId="1" applyNumberFormat="1" applyFont="1" applyFill="1" applyBorder="1" applyAlignment="1" applyProtection="1">
      <alignment horizontal="right" vertical="center"/>
    </xf>
    <xf numFmtId="1" fontId="5" fillId="0" borderId="62" xfId="1" applyNumberFormat="1" applyFont="1" applyFill="1" applyBorder="1" applyAlignment="1" applyProtection="1">
      <alignment horizontal="right" vertical="center"/>
    </xf>
    <xf numFmtId="1" fontId="5" fillId="0" borderId="61" xfId="1" applyNumberFormat="1" applyFont="1" applyFill="1" applyBorder="1" applyAlignment="1" applyProtection="1">
      <alignment horizontal="right" vertical="center"/>
    </xf>
    <xf numFmtId="43" fontId="5" fillId="0" borderId="65" xfId="1" applyFont="1" applyFill="1" applyBorder="1" applyAlignment="1" applyProtection="1">
      <alignment horizontal="right" vertical="center"/>
    </xf>
    <xf numFmtId="43" fontId="5" fillId="0" borderId="28" xfId="1" applyFont="1" applyFill="1" applyBorder="1" applyAlignment="1" applyProtection="1">
      <alignment horizontal="right" vertical="center"/>
    </xf>
    <xf numFmtId="0" fontId="5" fillId="6" borderId="28" xfId="0" applyFont="1" applyFill="1" applyBorder="1" applyAlignment="1" applyProtection="1">
      <alignment horizontal="right" vertical="center"/>
    </xf>
    <xf numFmtId="43" fontId="5" fillId="0" borderId="60" xfId="1" applyFont="1" applyFill="1" applyBorder="1" applyAlignment="1" applyProtection="1">
      <alignment horizontal="right" vertical="center"/>
    </xf>
    <xf numFmtId="43" fontId="5" fillId="0" borderId="31" xfId="1" applyFont="1" applyFill="1" applyBorder="1" applyAlignment="1" applyProtection="1">
      <alignment horizontal="right" vertical="center"/>
    </xf>
    <xf numFmtId="0" fontId="5" fillId="0" borderId="12" xfId="0" applyFont="1" applyFill="1" applyBorder="1" applyAlignment="1" applyProtection="1">
      <alignment horizontal="right" vertical="center"/>
    </xf>
    <xf numFmtId="0" fontId="5" fillId="0" borderId="14" xfId="0" applyFont="1" applyFill="1" applyBorder="1" applyAlignment="1" applyProtection="1">
      <alignment horizontal="right" vertical="center"/>
    </xf>
    <xf numFmtId="164" fontId="5" fillId="0" borderId="29" xfId="1" applyNumberFormat="1" applyFont="1" applyFill="1" applyBorder="1" applyAlignment="1" applyProtection="1">
      <alignment horizontal="right" vertical="center"/>
    </xf>
    <xf numFmtId="0" fontId="5" fillId="0" borderId="80" xfId="0" applyFont="1" applyFill="1" applyBorder="1" applyAlignment="1" applyProtection="1">
      <alignment horizontal="right" vertical="center"/>
    </xf>
    <xf numFmtId="43" fontId="5" fillId="0" borderId="107" xfId="1" applyFont="1" applyFill="1" applyBorder="1" applyAlignment="1" applyProtection="1">
      <alignment horizontal="right" vertical="center"/>
    </xf>
    <xf numFmtId="43" fontId="5" fillId="0" borderId="99" xfId="1" applyFont="1" applyFill="1" applyBorder="1" applyAlignment="1" applyProtection="1">
      <alignment horizontal="right" vertical="center"/>
    </xf>
    <xf numFmtId="0" fontId="5" fillId="0" borderId="107" xfId="0" applyFont="1" applyFill="1" applyBorder="1" applyAlignment="1" applyProtection="1">
      <alignment horizontal="right" vertical="center"/>
    </xf>
    <xf numFmtId="0" fontId="5" fillId="0" borderId="100" xfId="0" applyFont="1" applyFill="1" applyBorder="1" applyAlignment="1" applyProtection="1">
      <alignment horizontal="right" vertical="center"/>
    </xf>
    <xf numFmtId="0" fontId="5" fillId="0" borderId="81" xfId="0" applyFont="1" applyFill="1" applyBorder="1" applyAlignment="1" applyProtection="1">
      <alignment horizontal="right" vertical="center"/>
    </xf>
    <xf numFmtId="1" fontId="5" fillId="0" borderId="64" xfId="1" applyNumberFormat="1" applyFont="1" applyFill="1" applyBorder="1" applyAlignment="1" applyProtection="1">
      <alignment horizontal="right" vertical="center"/>
    </xf>
    <xf numFmtId="1" fontId="5" fillId="0" borderId="65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 applyProtection="1">
      <alignment horizontal="right"/>
    </xf>
    <xf numFmtId="0" fontId="5" fillId="0" borderId="18" xfId="0" applyFont="1" applyBorder="1" applyAlignment="1" applyProtection="1">
      <alignment horizontal="right"/>
    </xf>
    <xf numFmtId="0" fontId="13" fillId="6" borderId="0" xfId="0" applyFont="1" applyFill="1"/>
    <xf numFmtId="0" fontId="5" fillId="0" borderId="66" xfId="0" applyFont="1" applyFill="1" applyBorder="1"/>
    <xf numFmtId="0" fontId="5" fillId="0" borderId="102" xfId="0" applyFont="1" applyFill="1" applyBorder="1"/>
    <xf numFmtId="0" fontId="5" fillId="0" borderId="66" xfId="1" applyNumberFormat="1" applyFont="1" applyFill="1" applyBorder="1"/>
    <xf numFmtId="164" fontId="5" fillId="0" borderId="87" xfId="1" applyNumberFormat="1" applyFont="1" applyFill="1" applyBorder="1"/>
    <xf numFmtId="1" fontId="24" fillId="0" borderId="57" xfId="0" applyNumberFormat="1" applyFont="1" applyBorder="1" applyAlignment="1">
      <alignment vertical="top"/>
    </xf>
    <xf numFmtId="1" fontId="24" fillId="0" borderId="58" xfId="0" applyNumberFormat="1" applyFont="1" applyBorder="1" applyAlignment="1">
      <alignment vertical="top"/>
    </xf>
    <xf numFmtId="1" fontId="24" fillId="0" borderId="59" xfId="0" applyNumberFormat="1" applyFont="1" applyBorder="1" applyAlignment="1">
      <alignment vertical="top"/>
    </xf>
    <xf numFmtId="1" fontId="24" fillId="0" borderId="60" xfId="0" applyNumberFormat="1" applyFont="1" applyBorder="1" applyAlignment="1">
      <alignment vertical="top"/>
    </xf>
    <xf numFmtId="1" fontId="24" fillId="0" borderId="61" xfId="0" applyNumberFormat="1" applyFont="1" applyBorder="1" applyAlignment="1">
      <alignment vertical="top"/>
    </xf>
    <xf numFmtId="1" fontId="24" fillId="0" borderId="62" xfId="0" applyNumberFormat="1" applyFont="1" applyBorder="1" applyAlignment="1">
      <alignment vertical="top"/>
    </xf>
    <xf numFmtId="1" fontId="33" fillId="0" borderId="63" xfId="0" applyNumberFormat="1" applyFont="1" applyBorder="1" applyAlignment="1">
      <alignment vertical="top"/>
    </xf>
    <xf numFmtId="1" fontId="33" fillId="0" borderId="64" xfId="0" applyNumberFormat="1" applyFont="1" applyBorder="1" applyAlignment="1">
      <alignment vertical="top"/>
    </xf>
    <xf numFmtId="1" fontId="33" fillId="0" borderId="65" xfId="0" applyNumberFormat="1" applyFont="1" applyBorder="1" applyAlignment="1">
      <alignment vertical="top"/>
    </xf>
    <xf numFmtId="1" fontId="24" fillId="0" borderId="63" xfId="0" applyNumberFormat="1" applyFont="1" applyBorder="1" applyAlignment="1">
      <alignment vertical="top"/>
    </xf>
    <xf numFmtId="1" fontId="24" fillId="0" borderId="64" xfId="0" applyNumberFormat="1" applyFont="1" applyBorder="1" applyAlignment="1">
      <alignment vertical="top"/>
    </xf>
    <xf numFmtId="1" fontId="24" fillId="0" borderId="65" xfId="0" applyNumberFormat="1" applyFont="1" applyBorder="1" applyAlignment="1">
      <alignment vertical="top"/>
    </xf>
    <xf numFmtId="0" fontId="10" fillId="6" borderId="56" xfId="0" applyFont="1" applyFill="1" applyBorder="1" applyAlignment="1" applyProtection="1">
      <alignment vertical="center"/>
    </xf>
    <xf numFmtId="0" fontId="10" fillId="6" borderId="77" xfId="0" applyFont="1" applyFill="1" applyBorder="1" applyAlignment="1" applyProtection="1">
      <alignment horizontal="left" vertical="center"/>
    </xf>
    <xf numFmtId="43" fontId="10" fillId="6" borderId="56" xfId="0" applyNumberFormat="1" applyFont="1" applyFill="1" applyBorder="1" applyAlignment="1" applyProtection="1">
      <alignment vertical="center"/>
    </xf>
    <xf numFmtId="0" fontId="10" fillId="6" borderId="0" xfId="0" applyFont="1" applyFill="1" applyBorder="1" applyAlignment="1" applyProtection="1">
      <alignment vertical="center"/>
    </xf>
    <xf numFmtId="164" fontId="10" fillId="6" borderId="60" xfId="1" applyNumberFormat="1" applyFont="1" applyFill="1" applyBorder="1" applyAlignment="1" applyProtection="1">
      <alignment vertical="center"/>
    </xf>
    <xf numFmtId="164" fontId="10" fillId="6" borderId="61" xfId="1" applyNumberFormat="1" applyFont="1" applyFill="1" applyBorder="1" applyAlignment="1" applyProtection="1">
      <alignment vertical="center"/>
    </xf>
    <xf numFmtId="164" fontId="10" fillId="6" borderId="62" xfId="1" applyNumberFormat="1" applyFont="1" applyFill="1" applyBorder="1" applyAlignment="1" applyProtection="1">
      <alignment vertical="center"/>
    </xf>
    <xf numFmtId="164" fontId="10" fillId="6" borderId="0" xfId="1" applyNumberFormat="1" applyFont="1" applyFill="1" applyBorder="1" applyAlignment="1" applyProtection="1">
      <alignment vertical="center"/>
    </xf>
    <xf numFmtId="164" fontId="10" fillId="6" borderId="56" xfId="1" applyNumberFormat="1" applyFont="1" applyFill="1" applyBorder="1" applyAlignment="1" applyProtection="1">
      <alignment vertical="center"/>
    </xf>
    <xf numFmtId="164" fontId="10" fillId="6" borderId="70" xfId="1" applyNumberFormat="1" applyFont="1" applyFill="1" applyBorder="1" applyAlignment="1" applyProtection="1">
      <alignment vertical="center"/>
    </xf>
    <xf numFmtId="164" fontId="10" fillId="6" borderId="67" xfId="1" applyNumberFormat="1" applyFont="1" applyFill="1" applyBorder="1" applyAlignment="1" applyProtection="1">
      <alignment vertical="center"/>
    </xf>
    <xf numFmtId="0" fontId="10" fillId="6" borderId="0" xfId="0" applyFont="1" applyFill="1" applyAlignment="1" applyProtection="1">
      <alignment vertical="center"/>
    </xf>
    <xf numFmtId="43" fontId="10" fillId="6" borderId="0" xfId="1" applyFont="1" applyFill="1" applyAlignment="1" applyProtection="1">
      <alignment vertical="center"/>
    </xf>
    <xf numFmtId="43" fontId="10" fillId="6" borderId="0" xfId="0" applyNumberFormat="1" applyFont="1" applyFill="1" applyAlignment="1" applyProtection="1">
      <alignment vertical="center"/>
    </xf>
    <xf numFmtId="0" fontId="27" fillId="0" borderId="0" xfId="0" applyFont="1" applyAlignment="1">
      <alignment horizontal="center" vertical="top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5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5" borderId="17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8" xfId="0" applyFont="1" applyFill="1" applyBorder="1" applyAlignment="1" applyProtection="1">
      <alignment horizontal="center" vertical="center"/>
    </xf>
    <xf numFmtId="0" fontId="6" fillId="0" borderId="10" xfId="0" applyFont="1" applyBorder="1" applyAlignment="1" applyProtection="1">
      <alignment horizontal="center" vertical="center"/>
    </xf>
    <xf numFmtId="17" fontId="7" fillId="0" borderId="46" xfId="0" applyNumberFormat="1" applyFont="1" applyBorder="1" applyAlignment="1" applyProtection="1">
      <alignment horizontal="center" vertical="center"/>
    </xf>
    <xf numFmtId="0" fontId="7" fillId="0" borderId="46" xfId="0" applyFont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11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center" vertical="center"/>
    </xf>
    <xf numFmtId="0" fontId="4" fillId="0" borderId="12" xfId="0" applyFont="1" applyFill="1" applyBorder="1" applyAlignment="1" applyProtection="1">
      <alignment horizontal="center" vertical="center"/>
    </xf>
    <xf numFmtId="0" fontId="4" fillId="0" borderId="17" xfId="0" applyFont="1" applyFill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43" fontId="12" fillId="0" borderId="3" xfId="1" applyFont="1" applyBorder="1" applyAlignment="1">
      <alignment horizontal="center"/>
    </xf>
    <xf numFmtId="43" fontId="12" fillId="0" borderId="5" xfId="1" applyFont="1" applyBorder="1" applyAlignment="1">
      <alignment horizontal="center"/>
    </xf>
    <xf numFmtId="43" fontId="12" fillId="0" borderId="4" xfId="1" applyFont="1" applyBorder="1" applyAlignment="1">
      <alignment horizontal="center"/>
    </xf>
    <xf numFmtId="164" fontId="14" fillId="0" borderId="6" xfId="1" applyNumberFormat="1" applyFont="1" applyFill="1" applyBorder="1" applyAlignment="1" applyProtection="1">
      <alignment horizontal="center" vertical="center" wrapText="1"/>
    </xf>
    <xf numFmtId="164" fontId="14" fillId="0" borderId="11" xfId="1" applyNumberFormat="1" applyFont="1" applyFill="1" applyBorder="1" applyAlignment="1" applyProtection="1">
      <alignment horizontal="center" vertical="center" wrapText="1"/>
    </xf>
    <xf numFmtId="164" fontId="14" fillId="0" borderId="7" xfId="1" applyNumberFormat="1" applyFont="1" applyFill="1" applyBorder="1" applyAlignment="1" applyProtection="1">
      <alignment horizontal="center" vertical="center" wrapText="1"/>
    </xf>
    <xf numFmtId="43" fontId="12" fillId="0" borderId="17" xfId="1" applyFont="1" applyBorder="1" applyAlignment="1">
      <alignment horizontal="center" vertical="center"/>
    </xf>
    <xf numFmtId="43" fontId="12" fillId="0" borderId="8" xfId="1" applyFont="1" applyBorder="1" applyAlignment="1">
      <alignment horizontal="center" vertical="center"/>
    </xf>
    <xf numFmtId="43" fontId="12" fillId="0" borderId="19" xfId="1" applyFont="1" applyBorder="1" applyAlignment="1">
      <alignment horizontal="center" vertical="center"/>
    </xf>
    <xf numFmtId="43" fontId="12" fillId="0" borderId="10" xfId="1" applyFont="1" applyBorder="1" applyAlignment="1">
      <alignment horizontal="center" vertical="center"/>
    </xf>
    <xf numFmtId="0" fontId="14" fillId="0" borderId="6" xfId="0" applyFont="1" applyFill="1" applyBorder="1" applyAlignment="1" applyProtection="1">
      <alignment horizontal="center" vertical="center" wrapText="1"/>
    </xf>
    <xf numFmtId="0" fontId="14" fillId="0" borderId="11" xfId="0" applyFont="1" applyFill="1" applyBorder="1" applyAlignment="1" applyProtection="1">
      <alignment horizontal="center" vertical="center" wrapText="1"/>
    </xf>
    <xf numFmtId="0" fontId="14" fillId="0" borderId="7" xfId="0" applyFont="1" applyFill="1" applyBorder="1" applyAlignment="1" applyProtection="1">
      <alignment horizontal="center" vertical="center" wrapText="1"/>
    </xf>
    <xf numFmtId="164" fontId="4" fillId="0" borderId="23" xfId="1" applyNumberFormat="1" applyFont="1" applyFill="1" applyBorder="1" applyAlignment="1" applyProtection="1">
      <alignment horizontal="center" vertical="center"/>
    </xf>
    <xf numFmtId="164" fontId="4" fillId="0" borderId="0" xfId="1" applyNumberFormat="1" applyFont="1" applyFill="1" applyBorder="1" applyAlignment="1" applyProtection="1">
      <alignment horizontal="center" vertical="center"/>
    </xf>
    <xf numFmtId="164" fontId="4" fillId="0" borderId="18" xfId="1" applyNumberFormat="1" applyFont="1" applyFill="1" applyBorder="1" applyAlignment="1" applyProtection="1">
      <alignment horizontal="center" vertical="center"/>
    </xf>
    <xf numFmtId="43" fontId="14" fillId="0" borderId="6" xfId="1" applyFont="1" applyFill="1" applyBorder="1" applyAlignment="1" applyProtection="1">
      <alignment horizontal="center" vertical="center"/>
    </xf>
    <xf numFmtId="43" fontId="14" fillId="0" borderId="7" xfId="1" applyFont="1" applyFill="1" applyBorder="1" applyAlignment="1" applyProtection="1">
      <alignment horizontal="center" vertical="center"/>
    </xf>
    <xf numFmtId="43" fontId="4" fillId="0" borderId="23" xfId="1" applyFont="1" applyFill="1" applyBorder="1" applyAlignment="1" applyProtection="1">
      <alignment horizontal="center" vertical="center"/>
    </xf>
    <xf numFmtId="43" fontId="4" fillId="0" borderId="18" xfId="1" applyFont="1" applyFill="1" applyBorder="1" applyAlignment="1" applyProtection="1">
      <alignment horizontal="center" vertical="center"/>
    </xf>
    <xf numFmtId="164" fontId="14" fillId="0" borderId="0" xfId="1" applyNumberFormat="1" applyFont="1" applyAlignment="1" applyProtection="1">
      <alignment horizontal="center"/>
      <protection locked="0"/>
    </xf>
    <xf numFmtId="164" fontId="14" fillId="0" borderId="0" xfId="1" applyNumberFormat="1" applyFont="1" applyAlignment="1" applyProtection="1">
      <alignment horizontal="left" vertical="center"/>
      <protection locked="0"/>
    </xf>
    <xf numFmtId="164" fontId="14" fillId="0" borderId="0" xfId="1" applyNumberFormat="1" applyFont="1" applyAlignment="1" applyProtection="1">
      <alignment horizontal="left"/>
      <protection locked="0"/>
    </xf>
    <xf numFmtId="164" fontId="14" fillId="0" borderId="0" xfId="1" applyNumberFormat="1" applyFont="1" applyAlignment="1" applyProtection="1">
      <alignment horizontal="center" wrapText="1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center" vertical="center"/>
    </xf>
    <xf numFmtId="164" fontId="17" fillId="4" borderId="3" xfId="1" applyNumberFormat="1" applyFont="1" applyFill="1" applyBorder="1" applyAlignment="1" applyProtection="1">
      <alignment horizontal="center" vertical="center"/>
    </xf>
    <xf numFmtId="164" fontId="17" fillId="4" borderId="4" xfId="1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0" fontId="17" fillId="0" borderId="6" xfId="0" applyFont="1" applyFill="1" applyBorder="1" applyAlignment="1" applyProtection="1">
      <alignment horizontal="center" vertical="center" wrapText="1"/>
    </xf>
    <xf numFmtId="0" fontId="17" fillId="0" borderId="7" xfId="0" applyFont="1" applyFill="1" applyBorder="1" applyAlignment="1" applyProtection="1">
      <alignment horizontal="center" vertical="center" wrapText="1"/>
    </xf>
    <xf numFmtId="164" fontId="17" fillId="0" borderId="6" xfId="1" applyNumberFormat="1" applyFont="1" applyFill="1" applyBorder="1" applyAlignment="1" applyProtection="1">
      <alignment horizontal="center" vertical="center" wrapText="1"/>
    </xf>
    <xf numFmtId="164" fontId="17" fillId="0" borderId="7" xfId="1" applyNumberFormat="1" applyFont="1" applyFill="1" applyBorder="1" applyAlignment="1" applyProtection="1">
      <alignment horizontal="center" vertical="center" wrapText="1"/>
    </xf>
    <xf numFmtId="164" fontId="17" fillId="0" borderId="6" xfId="1" applyNumberFormat="1" applyFont="1" applyFill="1" applyBorder="1" applyAlignment="1" applyProtection="1">
      <alignment horizontal="center" vertical="center"/>
    </xf>
    <xf numFmtId="164" fontId="17" fillId="0" borderId="7" xfId="1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64" fontId="22" fillId="0" borderId="46" xfId="1" applyNumberFormat="1" applyFont="1" applyBorder="1" applyAlignment="1">
      <alignment horizontal="right"/>
    </xf>
    <xf numFmtId="164" fontId="4" fillId="0" borderId="17" xfId="1" applyNumberFormat="1" applyFont="1" applyBorder="1" applyAlignment="1">
      <alignment horizontal="center" vertical="center" wrapText="1"/>
    </xf>
    <xf numFmtId="164" fontId="4" fillId="0" borderId="23" xfId="1" applyNumberFormat="1" applyFont="1" applyBorder="1" applyAlignment="1">
      <alignment horizontal="center" vertical="center" wrapText="1"/>
    </xf>
    <xf numFmtId="164" fontId="4" fillId="0" borderId="19" xfId="1" applyNumberFormat="1" applyFont="1" applyBorder="1" applyAlignment="1">
      <alignment horizontal="center" vertical="center" wrapText="1"/>
    </xf>
    <xf numFmtId="164" fontId="4" fillId="0" borderId="6" xfId="1" applyNumberFormat="1" applyFont="1" applyBorder="1" applyAlignment="1">
      <alignment horizontal="center" vertical="center" wrapText="1"/>
    </xf>
    <xf numFmtId="164" fontId="4" fillId="0" borderId="11" xfId="1" applyNumberFormat="1" applyFont="1" applyBorder="1" applyAlignment="1">
      <alignment horizontal="center" vertical="center" wrapText="1"/>
    </xf>
    <xf numFmtId="164" fontId="4" fillId="0" borderId="7" xfId="1" applyNumberFormat="1" applyFont="1" applyBorder="1" applyAlignment="1">
      <alignment horizontal="center" vertical="center" wrapText="1"/>
    </xf>
    <xf numFmtId="164" fontId="4" fillId="0" borderId="17" xfId="1" applyNumberFormat="1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12" xfId="1" applyNumberFormat="1" applyFont="1" applyBorder="1" applyAlignment="1">
      <alignment horizontal="center" vertical="center"/>
    </xf>
    <xf numFmtId="164" fontId="4" fillId="0" borderId="19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164" fontId="4" fillId="0" borderId="13" xfId="1" applyNumberFormat="1" applyFont="1" applyBorder="1" applyAlignment="1">
      <alignment horizontal="center" vertical="center"/>
    </xf>
    <xf numFmtId="165" fontId="4" fillId="0" borderId="6" xfId="1" applyNumberFormat="1" applyFont="1" applyBorder="1" applyAlignment="1">
      <alignment horizontal="center" vertical="center" wrapText="1"/>
    </xf>
    <xf numFmtId="165" fontId="4" fillId="0" borderId="11" xfId="1" applyNumberFormat="1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/>
    </xf>
    <xf numFmtId="164" fontId="4" fillId="0" borderId="5" xfId="1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 wrapText="1"/>
    </xf>
    <xf numFmtId="164" fontId="4" fillId="0" borderId="12" xfId="1" applyNumberFormat="1" applyFont="1" applyBorder="1" applyAlignment="1">
      <alignment horizontal="center" vertical="center" wrapText="1"/>
    </xf>
    <xf numFmtId="164" fontId="4" fillId="0" borderId="10" xfId="1" applyNumberFormat="1" applyFont="1" applyBorder="1" applyAlignment="1">
      <alignment horizontal="center" vertical="center" wrapText="1"/>
    </xf>
    <xf numFmtId="164" fontId="4" fillId="0" borderId="13" xfId="1" applyNumberFormat="1" applyFont="1" applyBorder="1" applyAlignment="1">
      <alignment horizontal="center" vertical="center" wrapText="1"/>
    </xf>
    <xf numFmtId="164" fontId="4" fillId="4" borderId="3" xfId="1" applyNumberFormat="1" applyFont="1" applyFill="1" applyBorder="1" applyAlignment="1">
      <alignment horizontal="center"/>
    </xf>
    <xf numFmtId="164" fontId="4" fillId="4" borderId="4" xfId="1" applyNumberFormat="1" applyFont="1" applyFill="1" applyBorder="1" applyAlignment="1">
      <alignment horizontal="center"/>
    </xf>
    <xf numFmtId="164" fontId="4" fillId="0" borderId="0" xfId="1" applyNumberFormat="1" applyFont="1" applyAlignment="1">
      <alignment horizontal="center"/>
    </xf>
    <xf numFmtId="164" fontId="4" fillId="0" borderId="40" xfId="1" applyNumberFormat="1" applyFont="1" applyBorder="1" applyAlignment="1">
      <alignment horizontal="center" vertical="center"/>
    </xf>
    <xf numFmtId="164" fontId="4" fillId="0" borderId="41" xfId="1" applyNumberFormat="1" applyFont="1" applyBorder="1" applyAlignment="1">
      <alignment horizontal="center" vertical="center"/>
    </xf>
    <xf numFmtId="164" fontId="4" fillId="0" borderId="38" xfId="1" applyNumberFormat="1" applyFont="1" applyBorder="1" applyAlignment="1">
      <alignment horizontal="center" vertical="center"/>
    </xf>
  </cellXfs>
  <cellStyles count="8">
    <cellStyle name="Comma" xfId="1" builtinId="3"/>
    <cellStyle name="Comma 2" xfId="5"/>
    <cellStyle name="Comma 3" xfId="7"/>
    <cellStyle name="Normal" xfId="0" builtinId="0"/>
    <cellStyle name="Normal 2" xfId="3"/>
    <cellStyle name="Normal 3" xfId="4"/>
    <cellStyle name="Normal 4" xfId="6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E%20ISSUE%20-SEPTEMBER-2015%20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"/>
      <sheetName val="Bv Act"/>
      <sheetName val="BV Fig"/>
      <sheetName val="Bv flv"/>
      <sheetName val="water act"/>
      <sheetName val="water fig"/>
    </sheetNames>
    <sheetDataSet>
      <sheetData sheetId="0"/>
      <sheetData sheetId="1"/>
      <sheetData sheetId="2"/>
      <sheetData sheetId="3"/>
      <sheetData sheetId="4">
        <row r="14">
          <cell r="R14">
            <v>0</v>
          </cell>
          <cell r="S14">
            <v>0</v>
          </cell>
          <cell r="T14">
            <v>0</v>
          </cell>
        </row>
        <row r="18">
          <cell r="R18">
            <v>0</v>
          </cell>
          <cell r="S18">
            <v>0</v>
          </cell>
          <cell r="T18">
            <v>0</v>
          </cell>
        </row>
      </sheetData>
      <sheetData sheetId="5">
        <row r="10">
          <cell r="B10" t="str">
            <v>Akkareipathtu</v>
          </cell>
        </row>
        <row r="12">
          <cell r="B12" t="str">
            <v>Polonnaruwa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L70"/>
  <sheetViews>
    <sheetView topLeftCell="A47" workbookViewId="0">
      <selection activeCell="H56" sqref="H56:K56"/>
    </sheetView>
  </sheetViews>
  <sheetFormatPr defaultRowHeight="15" x14ac:dyDescent="0.25"/>
  <cols>
    <col min="2" max="2" width="14.28515625" customWidth="1"/>
    <col min="12" max="12" width="11.42578125" customWidth="1"/>
  </cols>
  <sheetData>
    <row r="3" spans="2:12" ht="15.75" x14ac:dyDescent="0.25">
      <c r="B3" s="1044" t="s">
        <v>314</v>
      </c>
      <c r="C3" s="1044"/>
      <c r="D3" s="1044"/>
      <c r="E3" s="1044"/>
      <c r="F3" s="1044"/>
      <c r="G3" s="1044"/>
      <c r="H3" s="1044"/>
      <c r="I3" s="1044"/>
      <c r="J3" s="1044"/>
      <c r="K3" s="1044"/>
      <c r="L3" s="1044"/>
    </row>
    <row r="4" spans="2:12" x14ac:dyDescent="0.25">
      <c r="B4" s="669"/>
      <c r="C4" s="669"/>
      <c r="D4" s="669"/>
      <c r="E4" s="669"/>
      <c r="F4" s="669"/>
      <c r="G4" s="670"/>
      <c r="H4" s="669"/>
      <c r="I4" s="669"/>
      <c r="J4" s="669"/>
      <c r="K4" s="669"/>
      <c r="L4" s="670"/>
    </row>
    <row r="5" spans="2:12" x14ac:dyDescent="0.25">
      <c r="B5" s="671" t="s">
        <v>56</v>
      </c>
      <c r="C5" s="671" t="s">
        <v>315</v>
      </c>
      <c r="D5" s="671" t="s">
        <v>316</v>
      </c>
      <c r="E5" s="671" t="s">
        <v>123</v>
      </c>
      <c r="F5" s="671" t="s">
        <v>318</v>
      </c>
      <c r="G5" s="672" t="s">
        <v>222</v>
      </c>
      <c r="H5" s="671" t="s">
        <v>319</v>
      </c>
      <c r="I5" s="671" t="s">
        <v>316</v>
      </c>
      <c r="J5" s="671" t="s">
        <v>317</v>
      </c>
      <c r="K5" s="671" t="s">
        <v>123</v>
      </c>
      <c r="L5" s="672" t="s">
        <v>223</v>
      </c>
    </row>
    <row r="6" spans="2:12" x14ac:dyDescent="0.25">
      <c r="B6" s="673" t="s">
        <v>203</v>
      </c>
      <c r="C6" s="674">
        <v>66</v>
      </c>
      <c r="D6" s="674">
        <v>0</v>
      </c>
      <c r="E6" s="674">
        <v>167</v>
      </c>
      <c r="F6" s="674">
        <v>417</v>
      </c>
      <c r="G6" s="678">
        <f t="shared" ref="G6:G9" si="0">SUM(F6,E6,D6,C6)</f>
        <v>650</v>
      </c>
      <c r="H6" s="674">
        <v>44</v>
      </c>
      <c r="I6" s="674">
        <v>176</v>
      </c>
      <c r="J6" s="674">
        <v>72</v>
      </c>
      <c r="K6" s="674">
        <v>84</v>
      </c>
      <c r="L6" s="675">
        <v>376</v>
      </c>
    </row>
    <row r="7" spans="2:12" x14ac:dyDescent="0.25">
      <c r="B7" s="673" t="s">
        <v>204</v>
      </c>
      <c r="C7" s="674">
        <v>51</v>
      </c>
      <c r="D7" s="674">
        <v>10</v>
      </c>
      <c r="E7" s="674">
        <v>183.5</v>
      </c>
      <c r="F7" s="674">
        <v>194.5</v>
      </c>
      <c r="G7" s="678">
        <f t="shared" si="0"/>
        <v>439</v>
      </c>
      <c r="H7" s="674">
        <v>17</v>
      </c>
      <c r="I7" s="674">
        <v>26</v>
      </c>
      <c r="J7" s="674">
        <v>29.083333333333336</v>
      </c>
      <c r="K7" s="674">
        <v>23</v>
      </c>
      <c r="L7" s="675">
        <v>95</v>
      </c>
    </row>
    <row r="8" spans="2:12" x14ac:dyDescent="0.25">
      <c r="B8" s="673" t="s">
        <v>179</v>
      </c>
      <c r="C8" s="674">
        <v>75.5</v>
      </c>
      <c r="D8" s="674">
        <v>0</v>
      </c>
      <c r="E8" s="674">
        <v>446.95833333333337</v>
      </c>
      <c r="F8" s="674">
        <v>522.95833333333337</v>
      </c>
      <c r="G8" s="678">
        <f t="shared" si="0"/>
        <v>1045.4166666666667</v>
      </c>
      <c r="H8" s="674">
        <v>41.5</v>
      </c>
      <c r="I8" s="674">
        <v>183.5</v>
      </c>
      <c r="J8" s="674">
        <v>163.5</v>
      </c>
      <c r="K8" s="674">
        <v>137.5</v>
      </c>
      <c r="L8" s="675">
        <v>526</v>
      </c>
    </row>
    <row r="9" spans="2:12" x14ac:dyDescent="0.25">
      <c r="B9" s="673" t="s">
        <v>186</v>
      </c>
      <c r="C9" s="674">
        <v>54.416666666666671</v>
      </c>
      <c r="D9" s="674">
        <v>5.5</v>
      </c>
      <c r="E9" s="674">
        <v>526</v>
      </c>
      <c r="F9" s="674">
        <v>193.125</v>
      </c>
      <c r="G9" s="678">
        <f t="shared" si="0"/>
        <v>779.04166666666663</v>
      </c>
      <c r="H9" s="674">
        <v>11.75</v>
      </c>
      <c r="I9" s="674">
        <v>52.833333333333329</v>
      </c>
      <c r="J9" s="674">
        <v>70.25</v>
      </c>
      <c r="K9" s="674">
        <v>51.208333333333329</v>
      </c>
      <c r="L9" s="675">
        <v>186</v>
      </c>
    </row>
    <row r="10" spans="2:12" ht="15.75" thickBot="1" x14ac:dyDescent="0.3">
      <c r="B10" s="676" t="s">
        <v>230</v>
      </c>
      <c r="C10" s="677">
        <v>61.416666666666671</v>
      </c>
      <c r="D10" s="677">
        <v>0.75</v>
      </c>
      <c r="E10" s="677">
        <v>210.70833333333331</v>
      </c>
      <c r="F10" s="677">
        <v>236.75</v>
      </c>
      <c r="G10" s="678">
        <f>SUM(F10,E10,D10,C10)</f>
        <v>509.625</v>
      </c>
      <c r="H10" s="677">
        <v>4.25</v>
      </c>
      <c r="I10" s="677">
        <v>12.75</v>
      </c>
      <c r="J10" s="677">
        <v>35.5</v>
      </c>
      <c r="K10" s="677">
        <v>39</v>
      </c>
      <c r="L10" s="678">
        <v>92</v>
      </c>
    </row>
    <row r="11" spans="2:12" ht="16.5" thickTop="1" thickBot="1" x14ac:dyDescent="0.3">
      <c r="B11" s="679" t="s">
        <v>80</v>
      </c>
      <c r="C11" s="680">
        <v>308</v>
      </c>
      <c r="D11" s="680">
        <v>16</v>
      </c>
      <c r="E11" s="680">
        <v>1534</v>
      </c>
      <c r="F11" s="680">
        <v>1564</v>
      </c>
      <c r="G11" s="680">
        <f>SUM(G6:G10)</f>
        <v>3423.0833333333335</v>
      </c>
      <c r="H11" s="680">
        <v>119</v>
      </c>
      <c r="I11" s="680">
        <v>451</v>
      </c>
      <c r="J11" s="680">
        <v>370</v>
      </c>
      <c r="K11" s="680">
        <v>335</v>
      </c>
      <c r="L11" s="680">
        <f>SUM(L6:L10)</f>
        <v>1275</v>
      </c>
    </row>
    <row r="12" spans="2:12" ht="15.75" thickTop="1" x14ac:dyDescent="0.25">
      <c r="B12" s="681" t="s">
        <v>320</v>
      </c>
      <c r="C12" s="682">
        <v>78.833333333333329</v>
      </c>
      <c r="D12" s="682">
        <v>3</v>
      </c>
      <c r="E12" s="682">
        <v>375.875</v>
      </c>
      <c r="F12" s="682">
        <v>423.79166666666663</v>
      </c>
      <c r="G12" s="675">
        <f t="shared" ref="G12:G15" si="1">SUM(F12,E12,D12,C12)</f>
        <v>881.5</v>
      </c>
      <c r="H12" s="682">
        <v>19.5</v>
      </c>
      <c r="I12" s="682">
        <v>53.5</v>
      </c>
      <c r="J12" s="682">
        <v>32</v>
      </c>
      <c r="K12" s="682">
        <v>32.708333333333336</v>
      </c>
      <c r="L12" s="683">
        <v>138</v>
      </c>
    </row>
    <row r="13" spans="2:12" x14ac:dyDescent="0.25">
      <c r="B13" s="673" t="s">
        <v>321</v>
      </c>
      <c r="C13" s="674">
        <v>189.08333333333331</v>
      </c>
      <c r="D13" s="674">
        <v>15.75</v>
      </c>
      <c r="E13" s="674">
        <v>109.5</v>
      </c>
      <c r="F13" s="674">
        <v>216.25</v>
      </c>
      <c r="G13" s="675">
        <f t="shared" si="1"/>
        <v>530.58333333333326</v>
      </c>
      <c r="H13" s="674">
        <v>4.25</v>
      </c>
      <c r="I13" s="674">
        <v>4</v>
      </c>
      <c r="J13" s="674">
        <v>4</v>
      </c>
      <c r="K13" s="674">
        <v>8.5</v>
      </c>
      <c r="L13" s="675">
        <v>21</v>
      </c>
    </row>
    <row r="14" spans="2:12" x14ac:dyDescent="0.25">
      <c r="B14" s="673" t="s">
        <v>209</v>
      </c>
      <c r="C14" s="674">
        <v>42.333333333333329</v>
      </c>
      <c r="D14" s="674">
        <v>0</v>
      </c>
      <c r="E14" s="674">
        <v>331.08333333333337</v>
      </c>
      <c r="F14" s="674">
        <v>351.5</v>
      </c>
      <c r="G14" s="675">
        <f t="shared" si="1"/>
        <v>724.91666666666674</v>
      </c>
      <c r="H14" s="674">
        <v>0</v>
      </c>
      <c r="I14" s="674">
        <v>1</v>
      </c>
      <c r="J14" s="674">
        <v>4</v>
      </c>
      <c r="K14" s="674">
        <v>4</v>
      </c>
      <c r="L14" s="675">
        <v>9</v>
      </c>
    </row>
    <row r="15" spans="2:12" x14ac:dyDescent="0.25">
      <c r="B15" s="673" t="s">
        <v>210</v>
      </c>
      <c r="C15" s="674">
        <v>28</v>
      </c>
      <c r="D15" s="674">
        <v>0</v>
      </c>
      <c r="E15" s="674">
        <v>706</v>
      </c>
      <c r="F15" s="674">
        <v>112</v>
      </c>
      <c r="G15" s="675">
        <f t="shared" si="1"/>
        <v>846</v>
      </c>
      <c r="H15" s="674">
        <v>4</v>
      </c>
      <c r="I15" s="674">
        <v>32</v>
      </c>
      <c r="J15" s="674">
        <v>77</v>
      </c>
      <c r="K15" s="674">
        <v>22</v>
      </c>
      <c r="L15" s="675">
        <v>135</v>
      </c>
    </row>
    <row r="16" spans="2:12" ht="15.75" thickBot="1" x14ac:dyDescent="0.3">
      <c r="B16" s="673" t="s">
        <v>182</v>
      </c>
      <c r="C16" s="674">
        <v>19.416666666666668</v>
      </c>
      <c r="D16" s="674">
        <v>0</v>
      </c>
      <c r="E16" s="674">
        <v>583</v>
      </c>
      <c r="F16" s="674">
        <v>116.25</v>
      </c>
      <c r="G16" s="675">
        <f>SUM(F16,E16,D16,C16)</f>
        <v>718.66666666666663</v>
      </c>
      <c r="H16" s="674">
        <v>5</v>
      </c>
      <c r="I16" s="674">
        <v>24</v>
      </c>
      <c r="J16" s="674">
        <v>21</v>
      </c>
      <c r="K16" s="674">
        <v>12.125</v>
      </c>
      <c r="L16" s="675">
        <v>62</v>
      </c>
    </row>
    <row r="17" spans="2:12" ht="16.5" thickTop="1" thickBot="1" x14ac:dyDescent="0.3">
      <c r="B17" s="679" t="s">
        <v>80</v>
      </c>
      <c r="C17" s="680">
        <v>358</v>
      </c>
      <c r="D17" s="680">
        <v>19</v>
      </c>
      <c r="E17" s="680">
        <v>2105</v>
      </c>
      <c r="F17" s="680">
        <v>1220</v>
      </c>
      <c r="G17" s="680">
        <f>SUM(G12:G16)</f>
        <v>3701.6666666666665</v>
      </c>
      <c r="H17" s="680">
        <v>33</v>
      </c>
      <c r="I17" s="680">
        <v>115</v>
      </c>
      <c r="J17" s="680">
        <v>138</v>
      </c>
      <c r="K17" s="680">
        <v>79</v>
      </c>
      <c r="L17" s="680">
        <f>SUM(L12:L16)</f>
        <v>365</v>
      </c>
    </row>
    <row r="18" spans="2:12" ht="15.75" thickTop="1" x14ac:dyDescent="0.25">
      <c r="B18" s="673" t="s">
        <v>191</v>
      </c>
      <c r="C18" s="674">
        <v>25.083333333333336</v>
      </c>
      <c r="D18" s="674">
        <v>0</v>
      </c>
      <c r="E18" s="674">
        <v>372.08333333333337</v>
      </c>
      <c r="F18" s="674">
        <v>459.33333333333337</v>
      </c>
      <c r="G18" s="675">
        <f>SUM(C18:F18)</f>
        <v>856.5</v>
      </c>
      <c r="H18" s="674">
        <v>15.25</v>
      </c>
      <c r="I18" s="674">
        <v>29.583333333333336</v>
      </c>
      <c r="J18" s="674">
        <v>27.416666666666664</v>
      </c>
      <c r="K18" s="674">
        <v>33.5</v>
      </c>
      <c r="L18" s="675">
        <v>106</v>
      </c>
    </row>
    <row r="19" spans="2:12" x14ac:dyDescent="0.25">
      <c r="B19" s="673" t="s">
        <v>190</v>
      </c>
      <c r="C19" s="674">
        <v>20.75</v>
      </c>
      <c r="D19" s="674">
        <v>0</v>
      </c>
      <c r="E19" s="674">
        <v>0</v>
      </c>
      <c r="F19" s="674">
        <v>229.875</v>
      </c>
      <c r="G19" s="675">
        <f t="shared" ref="G19:G24" si="2">SUM(C19:F19)</f>
        <v>250.625</v>
      </c>
      <c r="H19" s="674">
        <v>0</v>
      </c>
      <c r="I19" s="674">
        <v>0</v>
      </c>
      <c r="J19" s="674">
        <v>0</v>
      </c>
      <c r="K19" s="674">
        <v>0</v>
      </c>
      <c r="L19" s="675">
        <v>0</v>
      </c>
    </row>
    <row r="20" spans="2:12" x14ac:dyDescent="0.25">
      <c r="B20" s="673" t="s">
        <v>193</v>
      </c>
      <c r="C20" s="674">
        <v>31.75</v>
      </c>
      <c r="D20" s="674">
        <v>1.9166666666666665</v>
      </c>
      <c r="E20" s="674">
        <v>29.25</v>
      </c>
      <c r="F20" s="674">
        <v>306.04166666666669</v>
      </c>
      <c r="G20" s="675">
        <f t="shared" si="2"/>
        <v>368.95833333333337</v>
      </c>
      <c r="H20" s="674">
        <v>11</v>
      </c>
      <c r="I20" s="674">
        <v>29.333333333333336</v>
      </c>
      <c r="J20" s="674">
        <v>19</v>
      </c>
      <c r="K20" s="674">
        <v>17.208333333333332</v>
      </c>
      <c r="L20" s="675">
        <v>77</v>
      </c>
    </row>
    <row r="21" spans="2:12" x14ac:dyDescent="0.25">
      <c r="B21" s="673" t="s">
        <v>195</v>
      </c>
      <c r="C21" s="674">
        <v>27.333333333333336</v>
      </c>
      <c r="D21" s="674">
        <v>28.916666666666664</v>
      </c>
      <c r="E21" s="674">
        <v>0</v>
      </c>
      <c r="F21" s="674">
        <v>141.875</v>
      </c>
      <c r="G21" s="675">
        <f t="shared" si="2"/>
        <v>198.125</v>
      </c>
      <c r="H21" s="674">
        <v>9</v>
      </c>
      <c r="I21" s="674">
        <v>14</v>
      </c>
      <c r="J21" s="674">
        <v>14</v>
      </c>
      <c r="K21" s="674">
        <v>7</v>
      </c>
      <c r="L21" s="675">
        <v>44</v>
      </c>
    </row>
    <row r="22" spans="2:12" x14ac:dyDescent="0.25">
      <c r="B22" s="673" t="s">
        <v>322</v>
      </c>
      <c r="C22" s="674">
        <v>65.666666666666671</v>
      </c>
      <c r="D22" s="674">
        <v>4.583333333333333</v>
      </c>
      <c r="E22" s="674">
        <v>23.5</v>
      </c>
      <c r="F22" s="674">
        <v>305.83333333333331</v>
      </c>
      <c r="G22" s="675">
        <f t="shared" si="2"/>
        <v>399.58333333333331</v>
      </c>
      <c r="H22" s="674">
        <v>122.5</v>
      </c>
      <c r="I22" s="674">
        <v>101</v>
      </c>
      <c r="J22" s="674">
        <v>62.5</v>
      </c>
      <c r="K22" s="674">
        <v>23</v>
      </c>
      <c r="L22" s="675">
        <v>309</v>
      </c>
    </row>
    <row r="23" spans="2:12" x14ac:dyDescent="0.25">
      <c r="B23" s="673" t="s">
        <v>178</v>
      </c>
      <c r="C23" s="674">
        <v>4</v>
      </c>
      <c r="D23" s="674">
        <v>0</v>
      </c>
      <c r="E23" s="674">
        <v>0</v>
      </c>
      <c r="F23" s="674">
        <v>105</v>
      </c>
      <c r="G23" s="675">
        <f t="shared" si="2"/>
        <v>109</v>
      </c>
      <c r="H23" s="674">
        <v>0</v>
      </c>
      <c r="I23" s="674">
        <v>0</v>
      </c>
      <c r="J23" s="674">
        <v>0</v>
      </c>
      <c r="K23" s="674">
        <v>0</v>
      </c>
      <c r="L23" s="675">
        <v>0</v>
      </c>
    </row>
    <row r="24" spans="2:12" ht="15.75" thickBot="1" x14ac:dyDescent="0.3">
      <c r="B24" s="673" t="s">
        <v>286</v>
      </c>
      <c r="C24" s="674">
        <v>24.583333333333336</v>
      </c>
      <c r="D24" s="674">
        <v>15.666666666666668</v>
      </c>
      <c r="E24" s="674">
        <v>0.41666666666666663</v>
      </c>
      <c r="F24" s="674">
        <v>232.83333333333331</v>
      </c>
      <c r="G24" s="675">
        <f t="shared" si="2"/>
        <v>273.5</v>
      </c>
      <c r="H24" s="674">
        <v>9.5</v>
      </c>
      <c r="I24" s="674">
        <v>15.5</v>
      </c>
      <c r="J24" s="674">
        <v>9</v>
      </c>
      <c r="K24" s="674">
        <v>0</v>
      </c>
      <c r="L24" s="675">
        <v>34</v>
      </c>
    </row>
    <row r="25" spans="2:12" ht="16.5" thickTop="1" thickBot="1" x14ac:dyDescent="0.3">
      <c r="B25" s="679" t="s">
        <v>80</v>
      </c>
      <c r="C25" s="680">
        <v>199</v>
      </c>
      <c r="D25" s="680">
        <v>51</v>
      </c>
      <c r="E25" s="680">
        <v>425</v>
      </c>
      <c r="F25" s="680">
        <v>1781</v>
      </c>
      <c r="G25" s="680">
        <v>4351</v>
      </c>
      <c r="H25" s="680">
        <v>167</v>
      </c>
      <c r="I25" s="680">
        <v>189</v>
      </c>
      <c r="J25" s="680">
        <v>132</v>
      </c>
      <c r="K25" s="680">
        <v>81</v>
      </c>
      <c r="L25" s="680">
        <f>SUM(L18:L24)</f>
        <v>570</v>
      </c>
    </row>
    <row r="26" spans="2:12" ht="15.75" thickTop="1" x14ac:dyDescent="0.25">
      <c r="B26" s="673" t="s">
        <v>176</v>
      </c>
      <c r="C26" s="674">
        <v>58.833333333333329</v>
      </c>
      <c r="D26" s="674">
        <v>22.333333333333336</v>
      </c>
      <c r="E26" s="674">
        <v>19.25</v>
      </c>
      <c r="F26" s="674">
        <v>853.41666666666674</v>
      </c>
      <c r="G26" s="675">
        <f t="shared" ref="G26:G33" si="3">SUM(F26,E26,D26,C26)</f>
        <v>953.83333333333348</v>
      </c>
      <c r="H26" s="674">
        <v>6.5</v>
      </c>
      <c r="I26" s="674">
        <v>19.5</v>
      </c>
      <c r="J26" s="674">
        <v>24</v>
      </c>
      <c r="K26" s="674">
        <v>24</v>
      </c>
      <c r="L26" s="675">
        <v>74</v>
      </c>
    </row>
    <row r="27" spans="2:12" x14ac:dyDescent="0.25">
      <c r="B27" s="673" t="s">
        <v>177</v>
      </c>
      <c r="C27" s="674">
        <v>25.833333333333336</v>
      </c>
      <c r="D27" s="674">
        <v>6</v>
      </c>
      <c r="E27" s="674">
        <v>15.25</v>
      </c>
      <c r="F27" s="674">
        <v>1026</v>
      </c>
      <c r="G27" s="675">
        <f t="shared" si="3"/>
        <v>1073.0833333333333</v>
      </c>
      <c r="H27" s="674">
        <v>10</v>
      </c>
      <c r="I27" s="674">
        <v>21.5</v>
      </c>
      <c r="J27" s="674">
        <v>16</v>
      </c>
      <c r="K27" s="674">
        <v>20.833333333333336</v>
      </c>
      <c r="L27" s="675">
        <v>68</v>
      </c>
    </row>
    <row r="28" spans="2:12" x14ac:dyDescent="0.25">
      <c r="B28" s="673" t="s">
        <v>201</v>
      </c>
      <c r="C28" s="674">
        <v>35.416666666666664</v>
      </c>
      <c r="D28" s="674">
        <v>13</v>
      </c>
      <c r="E28" s="674">
        <v>0</v>
      </c>
      <c r="F28" s="674">
        <v>987.45833333333326</v>
      </c>
      <c r="G28" s="675">
        <f t="shared" si="3"/>
        <v>1035.875</v>
      </c>
      <c r="H28" s="674">
        <v>11</v>
      </c>
      <c r="I28" s="674">
        <v>17.5</v>
      </c>
      <c r="J28" s="674">
        <v>45.5</v>
      </c>
      <c r="K28" s="674">
        <v>27.5</v>
      </c>
      <c r="L28" s="675">
        <v>102</v>
      </c>
    </row>
    <row r="29" spans="2:12" x14ac:dyDescent="0.25">
      <c r="B29" s="673" t="s">
        <v>184</v>
      </c>
      <c r="C29" s="674">
        <v>40.5</v>
      </c>
      <c r="D29" s="674">
        <v>31.083333333333336</v>
      </c>
      <c r="E29" s="674">
        <v>33.5</v>
      </c>
      <c r="F29" s="674">
        <v>1290.9583333333333</v>
      </c>
      <c r="G29" s="675">
        <f t="shared" si="3"/>
        <v>1396.0416666666665</v>
      </c>
      <c r="H29" s="674">
        <v>12.25</v>
      </c>
      <c r="I29" s="674">
        <v>22.5</v>
      </c>
      <c r="J29" s="674">
        <v>21</v>
      </c>
      <c r="K29" s="674">
        <v>73.458333333333329</v>
      </c>
      <c r="L29" s="675">
        <v>129</v>
      </c>
    </row>
    <row r="30" spans="2:12" x14ac:dyDescent="0.25">
      <c r="B30" s="673" t="s">
        <v>175</v>
      </c>
      <c r="C30" s="674">
        <v>13.666666666666668</v>
      </c>
      <c r="D30" s="674">
        <v>13.083333333333332</v>
      </c>
      <c r="E30" s="674">
        <v>31.333333333333336</v>
      </c>
      <c r="F30" s="674">
        <v>781</v>
      </c>
      <c r="G30" s="675">
        <f t="shared" si="3"/>
        <v>839.08333333333337</v>
      </c>
      <c r="H30" s="674">
        <v>4</v>
      </c>
      <c r="I30" s="674">
        <v>7.9166666666666661</v>
      </c>
      <c r="J30" s="674">
        <v>14.416666666666668</v>
      </c>
      <c r="K30" s="674">
        <v>14.583333333333332</v>
      </c>
      <c r="L30" s="675">
        <v>41</v>
      </c>
    </row>
    <row r="31" spans="2:12" x14ac:dyDescent="0.25">
      <c r="B31" s="673" t="s">
        <v>277</v>
      </c>
      <c r="C31" s="674">
        <v>42.5</v>
      </c>
      <c r="D31" s="674">
        <v>2</v>
      </c>
      <c r="E31" s="674">
        <v>25.25</v>
      </c>
      <c r="F31" s="674">
        <v>693.95833333333326</v>
      </c>
      <c r="G31" s="675">
        <f t="shared" si="3"/>
        <v>763.70833333333326</v>
      </c>
      <c r="H31" s="674">
        <v>0</v>
      </c>
      <c r="I31" s="674">
        <v>5.25</v>
      </c>
      <c r="J31" s="674">
        <v>22.5</v>
      </c>
      <c r="K31" s="674">
        <v>7.125</v>
      </c>
      <c r="L31" s="675">
        <v>35</v>
      </c>
    </row>
    <row r="32" spans="2:12" x14ac:dyDescent="0.25">
      <c r="B32" s="673" t="s">
        <v>202</v>
      </c>
      <c r="C32" s="674">
        <v>64</v>
      </c>
      <c r="D32" s="674">
        <v>25.416666666666664</v>
      </c>
      <c r="E32" s="674">
        <v>60.208333333333329</v>
      </c>
      <c r="F32" s="674">
        <v>853.54166666666674</v>
      </c>
      <c r="G32" s="675">
        <f t="shared" si="3"/>
        <v>1003.1666666666667</v>
      </c>
      <c r="H32" s="674">
        <v>4.25</v>
      </c>
      <c r="I32" s="674">
        <v>17</v>
      </c>
      <c r="J32" s="674">
        <v>30.75</v>
      </c>
      <c r="K32" s="674">
        <v>29.25</v>
      </c>
      <c r="L32" s="675">
        <v>81</v>
      </c>
    </row>
    <row r="33" spans="2:12" x14ac:dyDescent="0.25">
      <c r="B33" s="673" t="s">
        <v>206</v>
      </c>
      <c r="C33" s="674">
        <v>35.833333333333336</v>
      </c>
      <c r="D33" s="674">
        <v>90.75</v>
      </c>
      <c r="E33" s="674">
        <v>12.375</v>
      </c>
      <c r="F33" s="674">
        <v>1198.3333333333333</v>
      </c>
      <c r="G33" s="675">
        <f t="shared" si="3"/>
        <v>1337.2916666666665</v>
      </c>
      <c r="H33" s="674">
        <v>0</v>
      </c>
      <c r="I33" s="674">
        <v>15</v>
      </c>
      <c r="J33" s="674">
        <v>20</v>
      </c>
      <c r="K33" s="674">
        <v>16</v>
      </c>
      <c r="L33" s="675">
        <v>51</v>
      </c>
    </row>
    <row r="34" spans="2:12" ht="15.75" thickBot="1" x14ac:dyDescent="0.3">
      <c r="B34" s="673" t="s">
        <v>207</v>
      </c>
      <c r="C34" s="674">
        <v>65.166666666666671</v>
      </c>
      <c r="D34" s="674">
        <v>20.75</v>
      </c>
      <c r="E34" s="674">
        <v>65</v>
      </c>
      <c r="F34" s="674">
        <v>1468.0833333333335</v>
      </c>
      <c r="G34" s="675">
        <f>SUM(F34,E34,D34,C34)</f>
        <v>1619.0000000000002</v>
      </c>
      <c r="H34" s="674">
        <v>0</v>
      </c>
      <c r="I34" s="674">
        <v>5</v>
      </c>
      <c r="J34" s="674">
        <v>64</v>
      </c>
      <c r="K34" s="674">
        <v>14.75</v>
      </c>
      <c r="L34" s="675">
        <v>84</v>
      </c>
    </row>
    <row r="35" spans="2:12" ht="16.5" thickTop="1" thickBot="1" x14ac:dyDescent="0.3">
      <c r="B35" s="679" t="s">
        <v>80</v>
      </c>
      <c r="C35" s="680">
        <v>382</v>
      </c>
      <c r="D35" s="680">
        <v>224</v>
      </c>
      <c r="E35" s="680">
        <v>262</v>
      </c>
      <c r="F35" s="680">
        <v>9153</v>
      </c>
      <c r="G35" s="680">
        <f t="shared" ref="G35:L35" si="4">SUM(G26:G34)</f>
        <v>10021.083333333334</v>
      </c>
      <c r="H35" s="680">
        <f t="shared" si="4"/>
        <v>48</v>
      </c>
      <c r="I35" s="680">
        <f t="shared" si="4"/>
        <v>131.16666666666669</v>
      </c>
      <c r="J35" s="680">
        <f t="shared" si="4"/>
        <v>258.16666666666669</v>
      </c>
      <c r="K35" s="680">
        <f t="shared" si="4"/>
        <v>227.50000000000003</v>
      </c>
      <c r="L35" s="680">
        <f t="shared" si="4"/>
        <v>665</v>
      </c>
    </row>
    <row r="36" spans="2:12" ht="15.75" thickTop="1" x14ac:dyDescent="0.25">
      <c r="B36" s="673" t="s">
        <v>197</v>
      </c>
      <c r="C36" s="674">
        <v>34.083333333333336</v>
      </c>
      <c r="D36" s="674">
        <v>8.25</v>
      </c>
      <c r="E36" s="674">
        <v>1</v>
      </c>
      <c r="F36" s="674">
        <v>876.08333333333326</v>
      </c>
      <c r="G36" s="675">
        <f t="shared" ref="G36:G41" si="5">SUM(F36,E36,D36,C36)</f>
        <v>919.41666666666663</v>
      </c>
      <c r="H36" s="674">
        <v>18</v>
      </c>
      <c r="I36" s="674">
        <v>31</v>
      </c>
      <c r="J36" s="674">
        <v>25</v>
      </c>
      <c r="K36" s="674">
        <v>33.75</v>
      </c>
      <c r="L36" s="675">
        <v>108</v>
      </c>
    </row>
    <row r="37" spans="2:12" x14ac:dyDescent="0.25">
      <c r="B37" s="673" t="s">
        <v>187</v>
      </c>
      <c r="C37" s="674">
        <v>11.5</v>
      </c>
      <c r="D37" s="674">
        <v>0</v>
      </c>
      <c r="E37" s="674">
        <v>7.5</v>
      </c>
      <c r="F37" s="674">
        <v>484.5</v>
      </c>
      <c r="G37" s="675">
        <f t="shared" si="5"/>
        <v>503.5</v>
      </c>
      <c r="H37" s="674">
        <v>5</v>
      </c>
      <c r="I37" s="674">
        <v>94</v>
      </c>
      <c r="J37" s="674">
        <v>97</v>
      </c>
      <c r="K37" s="674">
        <v>111</v>
      </c>
      <c r="L37" s="675">
        <v>307</v>
      </c>
    </row>
    <row r="38" spans="2:12" x14ac:dyDescent="0.25">
      <c r="B38" s="673" t="s">
        <v>188</v>
      </c>
      <c r="C38" s="674">
        <v>32.583333333333336</v>
      </c>
      <c r="D38" s="674">
        <v>0</v>
      </c>
      <c r="E38" s="674">
        <v>14.041666666666668</v>
      </c>
      <c r="F38" s="674">
        <v>619.75</v>
      </c>
      <c r="G38" s="675">
        <f t="shared" si="5"/>
        <v>666.375</v>
      </c>
      <c r="H38" s="674">
        <v>1</v>
      </c>
      <c r="I38" s="674">
        <v>13.5</v>
      </c>
      <c r="J38" s="674">
        <v>27.5</v>
      </c>
      <c r="K38" s="674">
        <v>8.5</v>
      </c>
      <c r="L38" s="675">
        <v>51</v>
      </c>
    </row>
    <row r="39" spans="2:12" x14ac:dyDescent="0.25">
      <c r="B39" s="673" t="s">
        <v>194</v>
      </c>
      <c r="C39" s="674">
        <v>29</v>
      </c>
      <c r="D39" s="674">
        <v>2.75</v>
      </c>
      <c r="E39" s="674">
        <v>47.125</v>
      </c>
      <c r="F39" s="674">
        <v>610.375</v>
      </c>
      <c r="G39" s="675">
        <f t="shared" si="5"/>
        <v>689.25</v>
      </c>
      <c r="H39" s="674">
        <v>7</v>
      </c>
      <c r="I39" s="674">
        <v>31</v>
      </c>
      <c r="J39" s="674">
        <v>8.5</v>
      </c>
      <c r="K39" s="674">
        <v>15</v>
      </c>
      <c r="L39" s="675">
        <v>62</v>
      </c>
    </row>
    <row r="40" spans="2:12" x14ac:dyDescent="0.25">
      <c r="B40" s="673" t="s">
        <v>192</v>
      </c>
      <c r="C40" s="674">
        <v>33</v>
      </c>
      <c r="D40" s="674">
        <v>1.6666666666666665</v>
      </c>
      <c r="E40" s="674">
        <v>5</v>
      </c>
      <c r="F40" s="674">
        <v>652</v>
      </c>
      <c r="G40" s="675">
        <f t="shared" si="5"/>
        <v>691.66666666666663</v>
      </c>
      <c r="H40" s="674">
        <v>5</v>
      </c>
      <c r="I40" s="674">
        <v>14</v>
      </c>
      <c r="J40" s="674">
        <v>12</v>
      </c>
      <c r="K40" s="674">
        <v>23</v>
      </c>
      <c r="L40" s="675">
        <f>SUM(H40:K40)</f>
        <v>54</v>
      </c>
    </row>
    <row r="41" spans="2:12" x14ac:dyDescent="0.25">
      <c r="B41" s="673" t="s">
        <v>189</v>
      </c>
      <c r="C41" s="674">
        <v>39.75</v>
      </c>
      <c r="D41" s="674">
        <v>10</v>
      </c>
      <c r="E41" s="674">
        <v>9.75</v>
      </c>
      <c r="F41" s="674">
        <v>1135.2083333333333</v>
      </c>
      <c r="G41" s="675">
        <f t="shared" si="5"/>
        <v>1194.7083333333333</v>
      </c>
      <c r="H41" s="674">
        <v>8</v>
      </c>
      <c r="I41" s="674">
        <v>19</v>
      </c>
      <c r="J41" s="674">
        <v>54</v>
      </c>
      <c r="K41" s="674">
        <v>48</v>
      </c>
      <c r="L41" s="675">
        <v>129</v>
      </c>
    </row>
    <row r="42" spans="2:12" ht="15.75" thickBot="1" x14ac:dyDescent="0.3">
      <c r="B42" s="673" t="s">
        <v>183</v>
      </c>
      <c r="C42" s="674">
        <v>8.75</v>
      </c>
      <c r="D42" s="674">
        <v>9.75</v>
      </c>
      <c r="E42" s="674">
        <v>73</v>
      </c>
      <c r="F42" s="674">
        <v>848.25</v>
      </c>
      <c r="G42" s="675">
        <f>SUM(F42,E42,D42,C42)</f>
        <v>939.75</v>
      </c>
      <c r="H42" s="674">
        <v>14</v>
      </c>
      <c r="I42" s="674">
        <v>37.75</v>
      </c>
      <c r="J42" s="674">
        <v>60.5</v>
      </c>
      <c r="K42" s="674">
        <v>97</v>
      </c>
      <c r="L42" s="675">
        <v>209</v>
      </c>
    </row>
    <row r="43" spans="2:12" ht="16.5" thickTop="1" thickBot="1" x14ac:dyDescent="0.3">
      <c r="B43" s="679" t="s">
        <v>80</v>
      </c>
      <c r="C43" s="680">
        <v>181</v>
      </c>
      <c r="D43" s="680">
        <v>32</v>
      </c>
      <c r="E43" s="680">
        <v>157</v>
      </c>
      <c r="F43" s="680">
        <v>5091</v>
      </c>
      <c r="G43" s="680">
        <f>SUM(G36:G42)</f>
        <v>5604.6666666666661</v>
      </c>
      <c r="H43" s="680">
        <v>57</v>
      </c>
      <c r="I43" s="680">
        <v>238</v>
      </c>
      <c r="J43" s="680">
        <v>283</v>
      </c>
      <c r="K43" s="680">
        <v>324</v>
      </c>
      <c r="L43" s="680">
        <f>SUM(L36:L42)</f>
        <v>920</v>
      </c>
    </row>
    <row r="44" spans="2:12" ht="15.75" thickTop="1" x14ac:dyDescent="0.25">
      <c r="B44" s="673" t="s">
        <v>198</v>
      </c>
      <c r="C44" s="674">
        <v>18.3333333333333</v>
      </c>
      <c r="D44" s="674">
        <v>0</v>
      </c>
      <c r="E44" s="674">
        <v>4.25</v>
      </c>
      <c r="F44" s="674">
        <v>467.125</v>
      </c>
      <c r="G44" s="675">
        <f>SUM(C44:F44)</f>
        <v>489.70833333333331</v>
      </c>
      <c r="H44" s="674">
        <v>0</v>
      </c>
      <c r="I44" s="674">
        <v>2</v>
      </c>
      <c r="J44" s="674">
        <v>3</v>
      </c>
      <c r="K44" s="674">
        <v>5</v>
      </c>
      <c r="L44" s="675">
        <v>10</v>
      </c>
    </row>
    <row r="45" spans="2:12" x14ac:dyDescent="0.25">
      <c r="B45" s="673" t="s">
        <v>82</v>
      </c>
      <c r="C45" s="674">
        <v>30.416666666666664</v>
      </c>
      <c r="D45" s="674">
        <v>0</v>
      </c>
      <c r="E45" s="674">
        <v>0</v>
      </c>
      <c r="F45" s="674">
        <v>493.16666666666663</v>
      </c>
      <c r="G45" s="675">
        <f t="shared" ref="G45:G52" si="6">SUM(F45,E45,D45,C45)</f>
        <v>523.58333333333326</v>
      </c>
      <c r="H45" s="674">
        <v>22</v>
      </c>
      <c r="I45" s="674">
        <v>59.083333333333329</v>
      </c>
      <c r="J45" s="674">
        <v>184.16666666666669</v>
      </c>
      <c r="K45" s="674">
        <v>51.25</v>
      </c>
      <c r="L45" s="675">
        <v>317</v>
      </c>
    </row>
    <row r="46" spans="2:12" x14ac:dyDescent="0.25">
      <c r="B46" s="673" t="s">
        <v>174</v>
      </c>
      <c r="C46" s="674">
        <v>27.75</v>
      </c>
      <c r="D46" s="674">
        <v>0</v>
      </c>
      <c r="E46" s="674">
        <v>0</v>
      </c>
      <c r="F46" s="674">
        <v>209.45833333333331</v>
      </c>
      <c r="G46" s="675">
        <f t="shared" si="6"/>
        <v>237.20833333333331</v>
      </c>
      <c r="H46" s="674">
        <v>0</v>
      </c>
      <c r="I46" s="674">
        <v>0</v>
      </c>
      <c r="J46" s="674">
        <v>6</v>
      </c>
      <c r="K46" s="674">
        <v>3</v>
      </c>
      <c r="L46" s="675">
        <v>9</v>
      </c>
    </row>
    <row r="47" spans="2:12" x14ac:dyDescent="0.25">
      <c r="B47" s="673" t="s">
        <v>181</v>
      </c>
      <c r="C47" s="674">
        <v>67.583333333333329</v>
      </c>
      <c r="D47" s="674">
        <v>20.75</v>
      </c>
      <c r="E47" s="674">
        <v>85.5</v>
      </c>
      <c r="F47" s="674">
        <v>469.66666666666663</v>
      </c>
      <c r="G47" s="675">
        <f t="shared" si="6"/>
        <v>643.5</v>
      </c>
      <c r="H47" s="674">
        <v>12</v>
      </c>
      <c r="I47" s="674">
        <v>9</v>
      </c>
      <c r="J47" s="674">
        <v>28.25</v>
      </c>
      <c r="K47" s="674">
        <v>22.5</v>
      </c>
      <c r="L47" s="675">
        <v>72</v>
      </c>
    </row>
    <row r="48" spans="2:12" x14ac:dyDescent="0.25">
      <c r="B48" s="673" t="s">
        <v>196</v>
      </c>
      <c r="C48" s="674">
        <v>64</v>
      </c>
      <c r="D48" s="674">
        <v>2.25</v>
      </c>
      <c r="E48" s="674">
        <v>92.208333333333343</v>
      </c>
      <c r="F48" s="674">
        <v>694</v>
      </c>
      <c r="G48" s="675">
        <f t="shared" si="6"/>
        <v>852.45833333333337</v>
      </c>
      <c r="H48" s="674">
        <v>4</v>
      </c>
      <c r="I48" s="674">
        <v>73.416666666666671</v>
      </c>
      <c r="J48" s="674">
        <v>12.833333333333332</v>
      </c>
      <c r="K48" s="674">
        <v>44.291666666666671</v>
      </c>
      <c r="L48" s="675">
        <v>135</v>
      </c>
    </row>
    <row r="49" spans="2:12" x14ac:dyDescent="0.25">
      <c r="B49" s="673" t="s">
        <v>180</v>
      </c>
      <c r="C49" s="674">
        <v>53.583333333333329</v>
      </c>
      <c r="D49" s="674">
        <v>3.916666666666667</v>
      </c>
      <c r="E49" s="674">
        <v>52.125</v>
      </c>
      <c r="F49" s="674">
        <v>525.16666666666663</v>
      </c>
      <c r="G49" s="675">
        <f t="shared" si="6"/>
        <v>634.79166666666663</v>
      </c>
      <c r="H49" s="674">
        <v>1</v>
      </c>
      <c r="I49" s="674">
        <v>13</v>
      </c>
      <c r="J49" s="674">
        <v>12</v>
      </c>
      <c r="K49" s="674">
        <v>2</v>
      </c>
      <c r="L49" s="675">
        <v>28</v>
      </c>
    </row>
    <row r="50" spans="2:12" x14ac:dyDescent="0.25">
      <c r="B50" s="673" t="s">
        <v>173</v>
      </c>
      <c r="C50" s="674">
        <v>119.83333333333334</v>
      </c>
      <c r="D50" s="674">
        <v>0</v>
      </c>
      <c r="E50" s="674">
        <v>55.458333333333329</v>
      </c>
      <c r="F50" s="674">
        <v>670.125</v>
      </c>
      <c r="G50" s="675">
        <f t="shared" si="6"/>
        <v>845.41666666666674</v>
      </c>
      <c r="H50" s="674">
        <v>2.5</v>
      </c>
      <c r="I50" s="674">
        <v>17</v>
      </c>
      <c r="J50" s="674">
        <v>54</v>
      </c>
      <c r="K50" s="674">
        <v>35.5</v>
      </c>
      <c r="L50" s="675">
        <v>109</v>
      </c>
    </row>
    <row r="51" spans="2:12" x14ac:dyDescent="0.25">
      <c r="B51" s="684" t="s">
        <v>287</v>
      </c>
      <c r="C51" s="674">
        <v>48.166666666666671</v>
      </c>
      <c r="D51" s="674">
        <v>0</v>
      </c>
      <c r="E51" s="674">
        <v>23.875</v>
      </c>
      <c r="F51" s="674">
        <v>637.79166666666663</v>
      </c>
      <c r="G51" s="675">
        <f t="shared" si="6"/>
        <v>709.83333333333326</v>
      </c>
      <c r="H51" s="674">
        <v>2</v>
      </c>
      <c r="I51" s="674">
        <v>16</v>
      </c>
      <c r="J51" s="674">
        <v>1</v>
      </c>
      <c r="K51" s="674">
        <v>0</v>
      </c>
      <c r="L51" s="675">
        <v>19</v>
      </c>
    </row>
    <row r="52" spans="2:12" x14ac:dyDescent="0.25">
      <c r="B52" s="684" t="s">
        <v>199</v>
      </c>
      <c r="C52" s="674">
        <v>363.83333333333337</v>
      </c>
      <c r="D52" s="674">
        <v>3.5</v>
      </c>
      <c r="E52" s="674">
        <v>10.25</v>
      </c>
      <c r="F52" s="674">
        <v>706.79166666666674</v>
      </c>
      <c r="G52" s="675">
        <f t="shared" si="6"/>
        <v>1084.375</v>
      </c>
      <c r="H52" s="674">
        <v>13</v>
      </c>
      <c r="I52" s="674">
        <v>4.75</v>
      </c>
      <c r="J52" s="674">
        <v>4.25</v>
      </c>
      <c r="K52" s="674">
        <v>3</v>
      </c>
      <c r="L52" s="675">
        <v>25</v>
      </c>
    </row>
    <row r="53" spans="2:12" ht="15.75" thickBot="1" x14ac:dyDescent="0.3">
      <c r="B53" s="673" t="s">
        <v>116</v>
      </c>
      <c r="C53" s="674">
        <v>112.75</v>
      </c>
      <c r="D53" s="674">
        <v>0</v>
      </c>
      <c r="E53" s="674">
        <v>125</v>
      </c>
      <c r="F53" s="674">
        <v>393.41666666666663</v>
      </c>
      <c r="G53" s="675">
        <f>SUM(F53,E53,D53,C53)</f>
        <v>631.16666666666663</v>
      </c>
      <c r="H53" s="674">
        <v>22.5</v>
      </c>
      <c r="I53" s="674">
        <v>15.75</v>
      </c>
      <c r="J53" s="674">
        <v>5</v>
      </c>
      <c r="K53" s="674">
        <v>26</v>
      </c>
      <c r="L53" s="675">
        <v>69</v>
      </c>
    </row>
    <row r="54" spans="2:12" ht="16.5" thickTop="1" thickBot="1" x14ac:dyDescent="0.3">
      <c r="B54" s="679" t="s">
        <v>80</v>
      </c>
      <c r="C54" s="680">
        <v>906</v>
      </c>
      <c r="D54" s="680">
        <v>30</v>
      </c>
      <c r="E54" s="680">
        <v>449</v>
      </c>
      <c r="F54" s="680">
        <v>5267</v>
      </c>
      <c r="G54" s="680">
        <f>SUM(G44:G53)</f>
        <v>6652.0416666666661</v>
      </c>
      <c r="H54" s="680">
        <v>79</v>
      </c>
      <c r="I54" s="680">
        <v>210</v>
      </c>
      <c r="J54" s="680">
        <v>311</v>
      </c>
      <c r="K54" s="680">
        <v>193</v>
      </c>
      <c r="L54" s="680">
        <f>SUM(L44:L53)</f>
        <v>793</v>
      </c>
    </row>
    <row r="55" spans="2:12" ht="15.75" thickTop="1" x14ac:dyDescent="0.25">
      <c r="B55" s="684" t="s">
        <v>224</v>
      </c>
      <c r="C55" s="674">
        <v>20</v>
      </c>
      <c r="D55" s="674">
        <v>2</v>
      </c>
      <c r="E55" s="674">
        <v>80.125</v>
      </c>
      <c r="F55" s="674">
        <v>139.04166666666666</v>
      </c>
      <c r="G55" s="675">
        <f t="shared" ref="G55:G57" si="7">SUM(F55,E55,D55,C55)</f>
        <v>241.16666666666666</v>
      </c>
      <c r="H55" s="674">
        <v>165.25</v>
      </c>
      <c r="I55" s="674">
        <v>227</v>
      </c>
      <c r="J55" s="674">
        <v>115.16666666666666</v>
      </c>
      <c r="K55" s="674">
        <v>105</v>
      </c>
      <c r="L55" s="675">
        <v>612</v>
      </c>
    </row>
    <row r="56" spans="2:12" x14ac:dyDescent="0.25">
      <c r="B56" s="673" t="s">
        <v>185</v>
      </c>
      <c r="C56" s="674">
        <v>14</v>
      </c>
      <c r="D56" s="674">
        <v>17.083333333333332</v>
      </c>
      <c r="E56" s="674">
        <v>46.416666666666671</v>
      </c>
      <c r="F56" s="674">
        <v>127</v>
      </c>
      <c r="G56" s="675">
        <f t="shared" si="7"/>
        <v>204.50000000000003</v>
      </c>
      <c r="H56" s="674">
        <v>229.5</v>
      </c>
      <c r="I56" s="674">
        <v>189.66666666666669</v>
      </c>
      <c r="J56" s="674">
        <v>60.083333333333329</v>
      </c>
      <c r="K56" s="674">
        <v>36</v>
      </c>
      <c r="L56" s="675">
        <v>515</v>
      </c>
    </row>
    <row r="57" spans="2:12" x14ac:dyDescent="0.25">
      <c r="B57" s="673" t="s">
        <v>291</v>
      </c>
      <c r="C57" s="674">
        <v>16</v>
      </c>
      <c r="D57" s="674">
        <v>14.666666666666668</v>
      </c>
      <c r="E57" s="674">
        <v>0</v>
      </c>
      <c r="F57" s="674">
        <v>132.95833333333334</v>
      </c>
      <c r="G57" s="675">
        <f t="shared" si="7"/>
        <v>163.625</v>
      </c>
      <c r="H57" s="674">
        <v>97</v>
      </c>
      <c r="I57" s="674">
        <v>76</v>
      </c>
      <c r="J57" s="674">
        <v>43</v>
      </c>
      <c r="K57" s="674">
        <v>22</v>
      </c>
      <c r="L57" s="675">
        <v>238</v>
      </c>
    </row>
    <row r="58" spans="2:12" ht="15.75" thickBot="1" x14ac:dyDescent="0.3">
      <c r="B58" s="673" t="s">
        <v>208</v>
      </c>
      <c r="C58" s="674">
        <v>13</v>
      </c>
      <c r="D58" s="674">
        <v>5</v>
      </c>
      <c r="E58" s="674">
        <v>15</v>
      </c>
      <c r="F58" s="674">
        <v>38</v>
      </c>
      <c r="G58" s="675">
        <f>SUM(F58,E58,D58,C58)</f>
        <v>71</v>
      </c>
      <c r="H58" s="674">
        <v>13</v>
      </c>
      <c r="I58" s="674">
        <v>56</v>
      </c>
      <c r="J58" s="674">
        <v>5</v>
      </c>
      <c r="K58" s="674">
        <v>0</v>
      </c>
      <c r="L58" s="675">
        <v>74</v>
      </c>
    </row>
    <row r="59" spans="2:12" ht="16.5" thickTop="1" thickBot="1" x14ac:dyDescent="0.3">
      <c r="B59" s="679" t="s">
        <v>80</v>
      </c>
      <c r="C59" s="680">
        <v>63</v>
      </c>
      <c r="D59" s="680">
        <v>39</v>
      </c>
      <c r="E59" s="680">
        <v>142</v>
      </c>
      <c r="F59" s="680">
        <v>437</v>
      </c>
      <c r="G59" s="680">
        <f>SUM(G55:G58)</f>
        <v>680.29166666666674</v>
      </c>
      <c r="H59" s="680">
        <v>505</v>
      </c>
      <c r="I59" s="680">
        <v>549</v>
      </c>
      <c r="J59" s="680">
        <v>223</v>
      </c>
      <c r="K59" s="680">
        <v>163</v>
      </c>
      <c r="L59" s="680">
        <f t="shared" ref="L59" si="8">SUM(L55:L58)</f>
        <v>1439</v>
      </c>
    </row>
    <row r="60" spans="2:12" ht="15.75" thickTop="1" x14ac:dyDescent="0.25">
      <c r="B60" s="673" t="s">
        <v>172</v>
      </c>
      <c r="C60" s="674">
        <v>65.75</v>
      </c>
      <c r="D60" s="674">
        <v>7</v>
      </c>
      <c r="E60" s="674">
        <v>0</v>
      </c>
      <c r="F60" s="674">
        <v>280.79166666666669</v>
      </c>
      <c r="G60" s="675">
        <f t="shared" ref="G60:G66" si="9">SUM(F60,E60,D60,C60)</f>
        <v>353.54166666666669</v>
      </c>
      <c r="H60" s="674">
        <v>3</v>
      </c>
      <c r="I60" s="674">
        <v>14</v>
      </c>
      <c r="J60" s="674">
        <v>15</v>
      </c>
      <c r="K60" s="674">
        <v>1</v>
      </c>
      <c r="L60" s="675">
        <v>33</v>
      </c>
    </row>
    <row r="61" spans="2:12" x14ac:dyDescent="0.25">
      <c r="B61" s="673" t="s">
        <v>83</v>
      </c>
      <c r="C61" s="674">
        <v>14</v>
      </c>
      <c r="D61" s="674">
        <v>0</v>
      </c>
      <c r="E61" s="674">
        <v>27.125</v>
      </c>
      <c r="F61" s="674">
        <v>203.08333333333331</v>
      </c>
      <c r="G61" s="675">
        <f t="shared" si="9"/>
        <v>244.20833333333331</v>
      </c>
      <c r="H61" s="674">
        <v>2</v>
      </c>
      <c r="I61" s="674">
        <v>6</v>
      </c>
      <c r="J61" s="674">
        <v>8</v>
      </c>
      <c r="K61" s="674">
        <v>0</v>
      </c>
      <c r="L61" s="675">
        <v>16</v>
      </c>
    </row>
    <row r="62" spans="2:12" x14ac:dyDescent="0.25">
      <c r="B62" s="673" t="s">
        <v>84</v>
      </c>
      <c r="C62" s="674">
        <v>12.5</v>
      </c>
      <c r="D62" s="674">
        <v>14.5</v>
      </c>
      <c r="E62" s="674">
        <v>4</v>
      </c>
      <c r="F62" s="674">
        <v>505.25</v>
      </c>
      <c r="G62" s="675">
        <f t="shared" si="9"/>
        <v>536.25</v>
      </c>
      <c r="H62" s="674">
        <v>31.5</v>
      </c>
      <c r="I62" s="674">
        <v>60</v>
      </c>
      <c r="J62" s="674">
        <v>18</v>
      </c>
      <c r="K62" s="674">
        <v>15</v>
      </c>
      <c r="L62" s="675">
        <v>125</v>
      </c>
    </row>
    <row r="63" spans="2:12" x14ac:dyDescent="0.25">
      <c r="B63" s="673" t="s">
        <v>85</v>
      </c>
      <c r="C63" s="674">
        <v>44</v>
      </c>
      <c r="D63" s="674">
        <v>0</v>
      </c>
      <c r="E63" s="674">
        <v>0</v>
      </c>
      <c r="F63" s="674">
        <v>432</v>
      </c>
      <c r="G63" s="675">
        <f t="shared" si="9"/>
        <v>476</v>
      </c>
      <c r="H63" s="674">
        <v>0</v>
      </c>
      <c r="I63" s="674">
        <v>0</v>
      </c>
      <c r="J63" s="674">
        <v>0</v>
      </c>
      <c r="K63" s="674">
        <v>0</v>
      </c>
      <c r="L63" s="675">
        <v>0</v>
      </c>
    </row>
    <row r="64" spans="2:12" x14ac:dyDescent="0.25">
      <c r="B64" s="673" t="s">
        <v>200</v>
      </c>
      <c r="C64" s="674">
        <v>40</v>
      </c>
      <c r="D64" s="674">
        <v>0</v>
      </c>
      <c r="E64" s="674">
        <v>0</v>
      </c>
      <c r="F64" s="674">
        <v>204</v>
      </c>
      <c r="G64" s="675">
        <f t="shared" si="9"/>
        <v>244</v>
      </c>
      <c r="H64" s="674">
        <v>0</v>
      </c>
      <c r="I64" s="674">
        <v>0</v>
      </c>
      <c r="J64" s="674">
        <v>0</v>
      </c>
      <c r="K64" s="674">
        <v>0</v>
      </c>
      <c r="L64" s="675">
        <v>0</v>
      </c>
    </row>
    <row r="65" spans="2:12" x14ac:dyDescent="0.25">
      <c r="B65" s="673" t="s">
        <v>323</v>
      </c>
      <c r="C65" s="674">
        <v>24</v>
      </c>
      <c r="D65" s="674">
        <v>26</v>
      </c>
      <c r="E65" s="674">
        <v>0</v>
      </c>
      <c r="F65" s="674">
        <v>382</v>
      </c>
      <c r="G65" s="675">
        <f t="shared" si="9"/>
        <v>432</v>
      </c>
      <c r="H65" s="674">
        <v>20</v>
      </c>
      <c r="I65" s="674">
        <v>95</v>
      </c>
      <c r="J65" s="674">
        <v>130</v>
      </c>
      <c r="K65" s="674">
        <v>25</v>
      </c>
      <c r="L65" s="675">
        <v>270</v>
      </c>
    </row>
    <row r="66" spans="2:12" x14ac:dyDescent="0.25">
      <c r="B66" s="673" t="s">
        <v>205</v>
      </c>
      <c r="C66" s="674">
        <v>18</v>
      </c>
      <c r="D66" s="674">
        <v>7.1666666666666661</v>
      </c>
      <c r="E66" s="674">
        <v>191.29166666666669</v>
      </c>
      <c r="F66" s="674">
        <v>287.66666666666669</v>
      </c>
      <c r="G66" s="675">
        <f t="shared" si="9"/>
        <v>504.12500000000006</v>
      </c>
      <c r="H66" s="674">
        <v>6</v>
      </c>
      <c r="I66" s="674">
        <v>4</v>
      </c>
      <c r="J66" s="674">
        <v>4</v>
      </c>
      <c r="K66" s="674">
        <v>1</v>
      </c>
      <c r="L66" s="675">
        <v>15</v>
      </c>
    </row>
    <row r="67" spans="2:12" ht="15.75" thickBot="1" x14ac:dyDescent="0.3">
      <c r="B67" s="673" t="s">
        <v>86</v>
      </c>
      <c r="C67" s="674">
        <v>27.5</v>
      </c>
      <c r="D67" s="674">
        <v>23</v>
      </c>
      <c r="E67" s="674">
        <v>1.5</v>
      </c>
      <c r="F67" s="674">
        <v>155.91666666666666</v>
      </c>
      <c r="G67" s="675">
        <f>SUM(F67,E67,D67,C67)</f>
        <v>207.91666666666666</v>
      </c>
      <c r="H67" s="674">
        <v>1.5</v>
      </c>
      <c r="I67" s="674">
        <v>4.5</v>
      </c>
      <c r="J67" s="674">
        <v>1</v>
      </c>
      <c r="K67" s="674">
        <v>2</v>
      </c>
      <c r="L67" s="675">
        <v>9</v>
      </c>
    </row>
    <row r="68" spans="2:12" ht="16.5" thickTop="1" thickBot="1" x14ac:dyDescent="0.3">
      <c r="B68" s="679" t="s">
        <v>80</v>
      </c>
      <c r="C68" s="680">
        <v>246</v>
      </c>
      <c r="D68" s="680">
        <v>78</v>
      </c>
      <c r="E68" s="680">
        <v>224</v>
      </c>
      <c r="F68" s="680">
        <v>2451</v>
      </c>
      <c r="G68" s="680">
        <f>SUM(G60:G67)</f>
        <v>2998.0416666666665</v>
      </c>
      <c r="H68" s="680">
        <v>64</v>
      </c>
      <c r="I68" s="680">
        <v>184</v>
      </c>
      <c r="J68" s="680">
        <v>176</v>
      </c>
      <c r="K68" s="680">
        <v>44</v>
      </c>
      <c r="L68" s="680">
        <f>SUM(L60:L67)</f>
        <v>468</v>
      </c>
    </row>
    <row r="69" spans="2:12" ht="16.5" thickTop="1" thickBot="1" x14ac:dyDescent="0.3">
      <c r="B69" s="679" t="s">
        <v>324</v>
      </c>
      <c r="C69" s="680">
        <f>C68+C59+C54+C43+C35+C25+C17+C11</f>
        <v>2643</v>
      </c>
      <c r="D69" s="680">
        <f t="shared" ref="D69:K69" si="10">D68+D59+D54+D43+D35+D25+D17+D11</f>
        <v>489</v>
      </c>
      <c r="E69" s="680">
        <f t="shared" si="10"/>
        <v>5298</v>
      </c>
      <c r="F69" s="680">
        <f>F68+F59+F54+F43+F35+F25+F17+F11</f>
        <v>26964</v>
      </c>
      <c r="G69" s="680">
        <f>G68+G59+G54+G43+G35+G25+G17+G11</f>
        <v>37431.875</v>
      </c>
      <c r="H69" s="680">
        <f t="shared" si="10"/>
        <v>1072</v>
      </c>
      <c r="I69" s="680">
        <f t="shared" si="10"/>
        <v>2067.166666666667</v>
      </c>
      <c r="J69" s="680">
        <f t="shared" si="10"/>
        <v>1891.1666666666667</v>
      </c>
      <c r="K69" s="680">
        <f t="shared" si="10"/>
        <v>1446.5</v>
      </c>
      <c r="L69" s="680">
        <f>L68+L59+L54+L43+L35+L25+L17+L11</f>
        <v>6495</v>
      </c>
    </row>
    <row r="70" spans="2:12" ht="15.75" thickTop="1" x14ac:dyDescent="0.25">
      <c r="B70" s="669"/>
      <c r="C70" s="669"/>
      <c r="D70" s="669"/>
      <c r="E70" s="669"/>
      <c r="F70" s="669"/>
      <c r="G70" s="670"/>
      <c r="H70" s="669"/>
      <c r="I70" s="669"/>
      <c r="J70" s="669"/>
      <c r="K70" s="669"/>
      <c r="L70" s="670"/>
    </row>
  </sheetData>
  <mergeCells count="1">
    <mergeCell ref="B3:L3"/>
  </mergeCells>
  <pageMargins left="0.7" right="0.7" top="0.75" bottom="0.75" header="0.3" footer="0.3"/>
  <pageSetup paperSize="9" scale="71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97"/>
  <sheetViews>
    <sheetView workbookViewId="0">
      <pane xSplit="2" ySplit="8" topLeftCell="C62" activePane="bottomRight" state="frozen"/>
      <selection pane="topRight" activeCell="C1" sqref="C1"/>
      <selection pane="bottomLeft" activeCell="A9" sqref="A9"/>
      <selection pane="bottomRight" activeCell="B1" sqref="B1:AB74"/>
    </sheetView>
  </sheetViews>
  <sheetFormatPr defaultRowHeight="12.75" x14ac:dyDescent="0.2"/>
  <cols>
    <col min="1" max="1" width="9.140625" style="9"/>
    <col min="2" max="2" width="23.28515625" style="74" customWidth="1"/>
    <col min="3" max="3" width="9.85546875" style="9" customWidth="1"/>
    <col min="4" max="4" width="8" style="9" customWidth="1"/>
    <col min="5" max="5" width="9.28515625" style="9" bestFit="1" customWidth="1"/>
    <col min="6" max="6" width="9.140625" style="9" bestFit="1" customWidth="1"/>
    <col min="7" max="7" width="8" style="9" bestFit="1" customWidth="1"/>
    <col min="8" max="8" width="9.140625" style="9" bestFit="1" customWidth="1"/>
    <col min="9" max="10" width="8" style="9" bestFit="1" customWidth="1"/>
    <col min="11" max="11" width="1.5703125" style="9" customWidth="1"/>
    <col min="12" max="12" width="8.85546875" style="9" customWidth="1"/>
    <col min="13" max="13" width="8" style="9" bestFit="1" customWidth="1"/>
    <col min="14" max="14" width="9.28515625" style="9" bestFit="1" customWidth="1"/>
    <col min="15" max="15" width="9.28515625" style="9" customWidth="1"/>
    <col min="16" max="16" width="9.140625" style="9" bestFit="1" customWidth="1"/>
    <col min="17" max="17" width="10.42578125" style="9" bestFit="1" customWidth="1"/>
    <col min="18" max="19" width="8" style="9" bestFit="1" customWidth="1"/>
    <col min="20" max="20" width="1.140625" style="9" customWidth="1"/>
    <col min="21" max="21" width="9.140625" style="9" bestFit="1" customWidth="1"/>
    <col min="22" max="22" width="7.85546875" style="9" customWidth="1"/>
    <col min="23" max="23" width="9.28515625" style="9" bestFit="1" customWidth="1"/>
    <col min="24" max="24" width="9.140625" style="9" bestFit="1" customWidth="1"/>
    <col min="25" max="25" width="7.7109375" style="9" customWidth="1"/>
    <col min="26" max="26" width="10.5703125" style="9" customWidth="1"/>
    <col min="27" max="28" width="7.85546875" style="9" customWidth="1"/>
    <col min="29" max="16384" width="9.140625" style="9"/>
  </cols>
  <sheetData>
    <row r="1" spans="2:73" x14ac:dyDescent="0.2">
      <c r="L1" s="9" t="s">
        <v>216</v>
      </c>
    </row>
    <row r="2" spans="2:73" ht="22.5" customHeight="1" thickBot="1" x14ac:dyDescent="0.25">
      <c r="M2" s="1052">
        <v>42339</v>
      </c>
      <c r="N2" s="1052"/>
      <c r="O2" s="1053"/>
      <c r="P2" s="1053"/>
      <c r="Q2" s="1053"/>
      <c r="R2" s="1053"/>
    </row>
    <row r="3" spans="2:73" ht="14.25" thickTop="1" thickBot="1" x14ac:dyDescent="0.25">
      <c r="B3" s="1"/>
      <c r="M3" s="1051"/>
      <c r="N3" s="1051"/>
      <c r="O3" s="1051"/>
      <c r="P3" s="1051"/>
      <c r="Q3" s="1051"/>
      <c r="R3" s="1051"/>
    </row>
    <row r="4" spans="2:73" s="11" customFormat="1" ht="18" customHeight="1" thickBot="1" x14ac:dyDescent="0.25">
      <c r="B4" s="1054" t="s">
        <v>56</v>
      </c>
      <c r="C4" s="1060" t="s">
        <v>218</v>
      </c>
      <c r="D4" s="1061"/>
      <c r="E4" s="1061"/>
      <c r="F4" s="1061"/>
      <c r="G4" s="1061"/>
      <c r="H4" s="1061"/>
      <c r="I4" s="1061"/>
      <c r="J4" s="1062"/>
      <c r="K4" s="10"/>
      <c r="L4" s="1060" t="s">
        <v>64</v>
      </c>
      <c r="M4" s="1061"/>
      <c r="N4" s="1061"/>
      <c r="O4" s="1061"/>
      <c r="P4" s="1061"/>
      <c r="Q4" s="1061"/>
      <c r="R4" s="1061"/>
      <c r="S4" s="1062"/>
      <c r="T4" s="10"/>
      <c r="U4" s="1045" t="s">
        <v>65</v>
      </c>
      <c r="V4" s="1046"/>
      <c r="W4" s="1046"/>
      <c r="X4" s="1046"/>
      <c r="Y4" s="1046"/>
      <c r="Z4" s="1046"/>
      <c r="AA4" s="1046"/>
      <c r="AB4" s="1047"/>
    </row>
    <row r="5" spans="2:73" s="11" customFormat="1" ht="15.75" customHeight="1" thickBot="1" x14ac:dyDescent="0.25">
      <c r="B5" s="1055"/>
      <c r="C5" s="1057" t="s">
        <v>60</v>
      </c>
      <c r="D5" s="1058"/>
      <c r="E5" s="8" t="s">
        <v>313</v>
      </c>
      <c r="F5" s="1059" t="s">
        <v>59</v>
      </c>
      <c r="G5" s="1058"/>
      <c r="H5" s="1059" t="s">
        <v>58</v>
      </c>
      <c r="I5" s="1057"/>
      <c r="J5" s="1058"/>
      <c r="K5" s="12"/>
      <c r="L5" s="1059" t="s">
        <v>60</v>
      </c>
      <c r="M5" s="1058"/>
      <c r="N5" s="651" t="s">
        <v>313</v>
      </c>
      <c r="O5" s="1059" t="s">
        <v>59</v>
      </c>
      <c r="P5" s="1058"/>
      <c r="Q5" s="1059" t="s">
        <v>58</v>
      </c>
      <c r="R5" s="1057"/>
      <c r="S5" s="1058"/>
      <c r="T5" s="12"/>
      <c r="U5" s="1048" t="s">
        <v>60</v>
      </c>
      <c r="V5" s="1049"/>
      <c r="W5" s="652" t="s">
        <v>313</v>
      </c>
      <c r="X5" s="1048" t="s">
        <v>59</v>
      </c>
      <c r="Y5" s="1049"/>
      <c r="Z5" s="1048" t="s">
        <v>58</v>
      </c>
      <c r="AA5" s="1050"/>
      <c r="AB5" s="1049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</row>
    <row r="6" spans="2:73" s="11" customFormat="1" ht="17.25" customHeight="1" thickBot="1" x14ac:dyDescent="0.25">
      <c r="B6" s="1056"/>
      <c r="C6" s="2" t="s">
        <v>61</v>
      </c>
      <c r="D6" s="3" t="s">
        <v>62</v>
      </c>
      <c r="E6" s="2" t="s">
        <v>61</v>
      </c>
      <c r="F6" s="4" t="s">
        <v>61</v>
      </c>
      <c r="G6" s="3" t="s">
        <v>62</v>
      </c>
      <c r="H6" s="5" t="s">
        <v>61</v>
      </c>
      <c r="I6" s="2" t="s">
        <v>63</v>
      </c>
      <c r="J6" s="3" t="s">
        <v>62</v>
      </c>
      <c r="K6" s="12"/>
      <c r="L6" s="4" t="s">
        <v>61</v>
      </c>
      <c r="M6" s="3" t="s">
        <v>62</v>
      </c>
      <c r="N6" s="4" t="s">
        <v>61</v>
      </c>
      <c r="O6" s="4" t="s">
        <v>61</v>
      </c>
      <c r="P6" s="3" t="s">
        <v>62</v>
      </c>
      <c r="Q6" s="5" t="s">
        <v>61</v>
      </c>
      <c r="R6" s="2" t="s">
        <v>63</v>
      </c>
      <c r="S6" s="3" t="s">
        <v>62</v>
      </c>
      <c r="T6" s="12"/>
      <c r="U6" s="40" t="s">
        <v>61</v>
      </c>
      <c r="V6" s="41" t="s">
        <v>62</v>
      </c>
      <c r="W6" s="40" t="s">
        <v>61</v>
      </c>
      <c r="X6" s="40" t="s">
        <v>61</v>
      </c>
      <c r="Y6" s="41" t="s">
        <v>62</v>
      </c>
      <c r="Z6" s="42" t="s">
        <v>61</v>
      </c>
      <c r="AA6" s="43" t="s">
        <v>63</v>
      </c>
      <c r="AB6" s="41" t="s">
        <v>62</v>
      </c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</row>
    <row r="7" spans="2:73" s="11" customFormat="1" ht="17.25" hidden="1" customHeight="1" thickBot="1" x14ac:dyDescent="0.25">
      <c r="B7" s="6"/>
      <c r="C7" s="2"/>
      <c r="D7" s="2"/>
      <c r="E7" s="2"/>
      <c r="F7" s="2"/>
      <c r="G7" s="2"/>
      <c r="H7" s="2"/>
      <c r="I7" s="2"/>
      <c r="J7" s="7"/>
      <c r="K7" s="12"/>
      <c r="L7" s="4"/>
      <c r="M7" s="2"/>
      <c r="N7" s="2"/>
      <c r="O7" s="2"/>
      <c r="P7" s="2"/>
      <c r="Q7" s="2"/>
      <c r="R7" s="2"/>
      <c r="S7" s="7"/>
      <c r="T7" s="12"/>
      <c r="U7" s="40"/>
      <c r="V7" s="43"/>
      <c r="W7" s="43"/>
      <c r="X7" s="43"/>
      <c r="Y7" s="43"/>
      <c r="Z7" s="43"/>
      <c r="AA7" s="43"/>
      <c r="AB7" s="44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</row>
    <row r="8" spans="2:73" ht="13.5" thickBot="1" x14ac:dyDescent="0.25">
      <c r="B8" s="6"/>
      <c r="C8" s="13"/>
      <c r="D8" s="13"/>
      <c r="E8" s="13"/>
      <c r="F8" s="13"/>
      <c r="G8" s="13"/>
      <c r="H8" s="13"/>
      <c r="I8" s="13"/>
      <c r="J8" s="16"/>
      <c r="K8" s="14"/>
      <c r="L8" s="15"/>
      <c r="M8" s="13"/>
      <c r="N8" s="13"/>
      <c r="O8" s="13"/>
      <c r="P8" s="13"/>
      <c r="Q8" s="13"/>
      <c r="R8" s="13"/>
      <c r="S8" s="16"/>
      <c r="T8" s="435"/>
      <c r="U8" s="45"/>
      <c r="V8" s="46"/>
      <c r="W8" s="46"/>
      <c r="X8" s="46"/>
      <c r="Y8" s="46"/>
      <c r="Z8" s="46"/>
      <c r="AA8" s="46"/>
      <c r="AB8" s="47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</row>
    <row r="9" spans="2:73" s="74" customFormat="1" ht="12.95" customHeight="1" x14ac:dyDescent="0.2">
      <c r="B9" s="437" t="s">
        <v>163</v>
      </c>
      <c r="C9" s="909">
        <v>117</v>
      </c>
      <c r="D9" s="910"/>
      <c r="E9" s="911"/>
      <c r="F9" s="912">
        <v>248</v>
      </c>
      <c r="G9" s="913">
        <v>14</v>
      </c>
      <c r="H9" s="912">
        <v>205</v>
      </c>
      <c r="I9" s="914">
        <v>13</v>
      </c>
      <c r="J9" s="915">
        <v>6</v>
      </c>
      <c r="K9" s="435"/>
      <c r="L9" s="446">
        <v>117</v>
      </c>
      <c r="M9" s="438"/>
      <c r="N9" s="661"/>
      <c r="O9" s="446">
        <v>248</v>
      </c>
      <c r="P9" s="449">
        <v>14</v>
      </c>
      <c r="Q9" s="446">
        <v>203</v>
      </c>
      <c r="R9" s="452">
        <v>13</v>
      </c>
      <c r="S9" s="453">
        <v>6</v>
      </c>
      <c r="T9" s="435"/>
      <c r="U9" s="441">
        <f t="shared" ref="U9:X10" si="0">IF(L9&lt;=C9,L9,IF(C9&lt;=L9,C9))</f>
        <v>117</v>
      </c>
      <c r="V9" s="439">
        <f t="shared" si="0"/>
        <v>0</v>
      </c>
      <c r="W9" s="439">
        <f t="shared" si="0"/>
        <v>0</v>
      </c>
      <c r="X9" s="441">
        <f t="shared" si="0"/>
        <v>248</v>
      </c>
      <c r="Y9" s="440">
        <f t="shared" ref="Y9:Y16" si="1">IF(P9&lt;=G9,P9,IF(G9&lt;=P9,G9))</f>
        <v>14</v>
      </c>
      <c r="Z9" s="441">
        <f t="shared" ref="Z9:Z16" si="2">IF(Q9&lt;=H9,Q9,IF(H9&lt;=Q9,H9))</f>
        <v>203</v>
      </c>
      <c r="AA9" s="442">
        <f t="shared" ref="AA9:AA16" si="3">IF(R9&lt;=I9,R9,IF(I9&lt;=R9,I9))</f>
        <v>13</v>
      </c>
      <c r="AB9" s="443">
        <f t="shared" ref="AB9:AB16" si="4">IF(S9&lt;=J9,S9,IF(J9&lt;=S9,J9))</f>
        <v>6</v>
      </c>
      <c r="AC9" s="435"/>
      <c r="AD9" s="435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</row>
    <row r="10" spans="2:73" s="74" customFormat="1" ht="12.95" customHeight="1" x14ac:dyDescent="0.2">
      <c r="B10" s="444" t="s">
        <v>3</v>
      </c>
      <c r="C10" s="909">
        <v>72</v>
      </c>
      <c r="D10" s="916"/>
      <c r="E10" s="917"/>
      <c r="F10" s="912">
        <v>228</v>
      </c>
      <c r="G10" s="916"/>
      <c r="H10" s="912">
        <v>216</v>
      </c>
      <c r="I10" s="918"/>
      <c r="J10" s="919"/>
      <c r="K10" s="435"/>
      <c r="L10" s="446">
        <v>72</v>
      </c>
      <c r="M10" s="445"/>
      <c r="N10" s="636"/>
      <c r="O10" s="446">
        <v>228</v>
      </c>
      <c r="P10" s="449"/>
      <c r="Q10" s="446">
        <v>212</v>
      </c>
      <c r="R10" s="450"/>
      <c r="S10" s="451"/>
      <c r="T10" s="435"/>
      <c r="U10" s="441">
        <f t="shared" si="0"/>
        <v>72</v>
      </c>
      <c r="V10" s="440">
        <f t="shared" si="0"/>
        <v>0</v>
      </c>
      <c r="W10" s="440">
        <f t="shared" si="0"/>
        <v>0</v>
      </c>
      <c r="X10" s="441">
        <f t="shared" si="0"/>
        <v>228</v>
      </c>
      <c r="Y10" s="440">
        <f t="shared" si="1"/>
        <v>0</v>
      </c>
      <c r="Z10" s="441">
        <f t="shared" si="2"/>
        <v>212</v>
      </c>
      <c r="AA10" s="442">
        <f t="shared" si="3"/>
        <v>0</v>
      </c>
      <c r="AB10" s="443">
        <f t="shared" si="4"/>
        <v>0</v>
      </c>
      <c r="AC10" s="435"/>
      <c r="AD10" s="435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</row>
    <row r="11" spans="2:73" s="74" customFormat="1" ht="12.95" customHeight="1" x14ac:dyDescent="0.2">
      <c r="B11" s="444" t="s">
        <v>4</v>
      </c>
      <c r="C11" s="909">
        <v>46</v>
      </c>
      <c r="D11" s="916"/>
      <c r="E11" s="917"/>
      <c r="F11" s="912">
        <v>311</v>
      </c>
      <c r="G11" s="913">
        <v>34</v>
      </c>
      <c r="H11" s="912">
        <v>30</v>
      </c>
      <c r="I11" s="914"/>
      <c r="J11" s="915">
        <v>4</v>
      </c>
      <c r="K11" s="435"/>
      <c r="L11" s="446">
        <v>46</v>
      </c>
      <c r="M11" s="445"/>
      <c r="N11" s="636"/>
      <c r="O11" s="446">
        <v>311</v>
      </c>
      <c r="P11" s="449">
        <v>34</v>
      </c>
      <c r="Q11" s="446">
        <v>30</v>
      </c>
      <c r="R11" s="452"/>
      <c r="S11" s="453">
        <v>4</v>
      </c>
      <c r="T11" s="435"/>
      <c r="U11" s="441">
        <f t="shared" ref="U11:W16" si="5">IF(L11&lt;=C11,L11,IF(C11&lt;=L11,C11))</f>
        <v>46</v>
      </c>
      <c r="V11" s="440">
        <f t="shared" si="5"/>
        <v>0</v>
      </c>
      <c r="W11" s="440">
        <f t="shared" si="5"/>
        <v>0</v>
      </c>
      <c r="X11" s="441">
        <f t="shared" ref="X11:X16" si="6">IF(O11&lt;=F11,O11,IF(F11&lt;=O11,F11))</f>
        <v>311</v>
      </c>
      <c r="Y11" s="440">
        <f t="shared" si="1"/>
        <v>34</v>
      </c>
      <c r="Z11" s="441">
        <f t="shared" si="2"/>
        <v>30</v>
      </c>
      <c r="AA11" s="442">
        <f t="shared" si="3"/>
        <v>0</v>
      </c>
      <c r="AB11" s="443">
        <f t="shared" si="4"/>
        <v>4</v>
      </c>
      <c r="AC11" s="435"/>
      <c r="AD11" s="435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</row>
    <row r="12" spans="2:73" s="74" customFormat="1" ht="12.95" customHeight="1" x14ac:dyDescent="0.2">
      <c r="B12" s="444" t="s">
        <v>231</v>
      </c>
      <c r="C12" s="920">
        <v>57</v>
      </c>
      <c r="D12" s="921"/>
      <c r="E12" s="922"/>
      <c r="F12" s="920">
        <v>66</v>
      </c>
      <c r="G12" s="923"/>
      <c r="H12" s="924">
        <v>48</v>
      </c>
      <c r="I12" s="925"/>
      <c r="J12" s="923"/>
      <c r="K12" s="435"/>
      <c r="L12" s="446">
        <v>57</v>
      </c>
      <c r="M12" s="445"/>
      <c r="N12" s="636"/>
      <c r="O12" s="446">
        <v>64</v>
      </c>
      <c r="P12" s="449"/>
      <c r="Q12" s="446">
        <v>48</v>
      </c>
      <c r="R12" s="452"/>
      <c r="S12" s="453"/>
      <c r="T12" s="435"/>
      <c r="U12" s="441">
        <f t="shared" si="5"/>
        <v>57</v>
      </c>
      <c r="V12" s="440">
        <f t="shared" si="5"/>
        <v>0</v>
      </c>
      <c r="W12" s="440">
        <f t="shared" si="5"/>
        <v>0</v>
      </c>
      <c r="X12" s="441">
        <f t="shared" si="6"/>
        <v>64</v>
      </c>
      <c r="Y12" s="440">
        <f t="shared" si="1"/>
        <v>0</v>
      </c>
      <c r="Z12" s="441">
        <f t="shared" si="2"/>
        <v>48</v>
      </c>
      <c r="AA12" s="442">
        <f t="shared" si="3"/>
        <v>0</v>
      </c>
      <c r="AB12" s="443">
        <f t="shared" si="4"/>
        <v>0</v>
      </c>
      <c r="AC12" s="435"/>
      <c r="AD12" s="435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</row>
    <row r="13" spans="2:73" s="74" customFormat="1" ht="12.95" customHeight="1" x14ac:dyDescent="0.2">
      <c r="B13" s="200" t="s">
        <v>5</v>
      </c>
      <c r="C13" s="926">
        <v>258</v>
      </c>
      <c r="D13" s="927"/>
      <c r="E13" s="928"/>
      <c r="F13" s="929">
        <v>296</v>
      </c>
      <c r="G13" s="930">
        <v>48</v>
      </c>
      <c r="H13" s="929">
        <v>97</v>
      </c>
      <c r="I13" s="931">
        <v>18</v>
      </c>
      <c r="J13" s="932">
        <v>12</v>
      </c>
      <c r="K13" s="14"/>
      <c r="L13" s="202">
        <v>258</v>
      </c>
      <c r="M13" s="333"/>
      <c r="N13" s="348"/>
      <c r="O13" s="202">
        <v>296</v>
      </c>
      <c r="P13" s="201">
        <v>48</v>
      </c>
      <c r="Q13" s="202">
        <v>97</v>
      </c>
      <c r="R13" s="203">
        <v>18</v>
      </c>
      <c r="S13" s="204">
        <v>12</v>
      </c>
      <c r="T13" s="14"/>
      <c r="U13" s="209">
        <f t="shared" si="5"/>
        <v>258</v>
      </c>
      <c r="V13" s="212">
        <f t="shared" si="5"/>
        <v>0</v>
      </c>
      <c r="W13" s="212">
        <f t="shared" si="5"/>
        <v>0</v>
      </c>
      <c r="X13" s="209">
        <f t="shared" si="6"/>
        <v>296</v>
      </c>
      <c r="Y13" s="212">
        <f t="shared" si="1"/>
        <v>48</v>
      </c>
      <c r="Z13" s="209">
        <f t="shared" si="2"/>
        <v>97</v>
      </c>
      <c r="AA13" s="218">
        <f t="shared" si="3"/>
        <v>18</v>
      </c>
      <c r="AB13" s="215">
        <f t="shared" si="4"/>
        <v>12</v>
      </c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</row>
    <row r="14" spans="2:73" s="74" customFormat="1" ht="12.95" customHeight="1" x14ac:dyDescent="0.2">
      <c r="B14" s="200" t="s">
        <v>7</v>
      </c>
      <c r="C14" s="926">
        <v>16</v>
      </c>
      <c r="D14" s="927"/>
      <c r="E14" s="928"/>
      <c r="F14" s="929">
        <v>390</v>
      </c>
      <c r="G14" s="933"/>
      <c r="H14" s="929">
        <v>31</v>
      </c>
      <c r="I14" s="931">
        <v>3</v>
      </c>
      <c r="J14" s="932">
        <v>23</v>
      </c>
      <c r="K14" s="14"/>
      <c r="L14" s="202">
        <v>16</v>
      </c>
      <c r="M14" s="333"/>
      <c r="N14" s="348"/>
      <c r="O14" s="202">
        <v>390</v>
      </c>
      <c r="P14" s="357"/>
      <c r="Q14" s="202">
        <v>31</v>
      </c>
      <c r="R14" s="203">
        <v>3</v>
      </c>
      <c r="S14" s="204">
        <v>22</v>
      </c>
      <c r="T14" s="14"/>
      <c r="U14" s="209">
        <f t="shared" si="5"/>
        <v>16</v>
      </c>
      <c r="V14" s="212">
        <f t="shared" si="5"/>
        <v>0</v>
      </c>
      <c r="W14" s="212">
        <f t="shared" si="5"/>
        <v>0</v>
      </c>
      <c r="X14" s="209">
        <f t="shared" si="6"/>
        <v>390</v>
      </c>
      <c r="Y14" s="212">
        <f t="shared" si="1"/>
        <v>0</v>
      </c>
      <c r="Z14" s="209">
        <f t="shared" si="2"/>
        <v>31</v>
      </c>
      <c r="AA14" s="218">
        <f t="shared" si="3"/>
        <v>3</v>
      </c>
      <c r="AB14" s="215">
        <f t="shared" si="4"/>
        <v>22</v>
      </c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</row>
    <row r="15" spans="2:73" s="74" customFormat="1" ht="12.95" customHeight="1" x14ac:dyDescent="0.2">
      <c r="B15" s="200" t="s">
        <v>156</v>
      </c>
      <c r="C15" s="929">
        <v>28</v>
      </c>
      <c r="D15" s="927"/>
      <c r="E15" s="928"/>
      <c r="F15" s="912">
        <v>534</v>
      </c>
      <c r="G15" s="930">
        <v>8</v>
      </c>
      <c r="H15" s="929">
        <v>12</v>
      </c>
      <c r="I15" s="934"/>
      <c r="J15" s="933"/>
      <c r="K15" s="14"/>
      <c r="L15" s="202">
        <v>28</v>
      </c>
      <c r="M15" s="333"/>
      <c r="N15" s="348"/>
      <c r="O15" s="202">
        <v>534</v>
      </c>
      <c r="P15" s="201">
        <v>8</v>
      </c>
      <c r="Q15" s="202">
        <v>12</v>
      </c>
      <c r="R15" s="356"/>
      <c r="S15" s="357"/>
      <c r="T15" s="35"/>
      <c r="U15" s="209">
        <f t="shared" si="5"/>
        <v>28</v>
      </c>
      <c r="V15" s="212">
        <f t="shared" si="5"/>
        <v>0</v>
      </c>
      <c r="W15" s="212">
        <f t="shared" si="5"/>
        <v>0</v>
      </c>
      <c r="X15" s="209">
        <f t="shared" ref="X15" si="7">IF(O15&lt;=F15,O15,IF(F15&lt;=O15,F15))</f>
        <v>534</v>
      </c>
      <c r="Y15" s="212">
        <f t="shared" ref="Y15" si="8">IF(P15&lt;=G15,P15,IF(G15&lt;=P15,G15))</f>
        <v>8</v>
      </c>
      <c r="Z15" s="209">
        <f t="shared" ref="Z15" si="9">IF(Q15&lt;=H15,Q15,IF(H15&lt;=Q15,H15))</f>
        <v>12</v>
      </c>
      <c r="AA15" s="218">
        <f t="shared" ref="AA15" si="10">IF(R15&lt;=I15,R15,IF(I15&lt;=R15,I15))</f>
        <v>0</v>
      </c>
      <c r="AB15" s="215">
        <f t="shared" ref="AB15" si="11">IF(S15&lt;=J15,S15,IF(J15&lt;=S15,J15))</f>
        <v>0</v>
      </c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</row>
    <row r="16" spans="2:73" s="74" customFormat="1" ht="13.5" thickBot="1" x14ac:dyDescent="0.25">
      <c r="B16" s="34" t="s">
        <v>8</v>
      </c>
      <c r="C16" s="935">
        <v>40</v>
      </c>
      <c r="D16" s="936"/>
      <c r="E16" s="937"/>
      <c r="F16" s="938">
        <v>46</v>
      </c>
      <c r="G16" s="939">
        <v>22</v>
      </c>
      <c r="H16" s="938">
        <v>131</v>
      </c>
      <c r="I16" s="940">
        <v>11</v>
      </c>
      <c r="J16" s="939">
        <v>42</v>
      </c>
      <c r="K16" s="14"/>
      <c r="L16" s="23">
        <v>40</v>
      </c>
      <c r="M16" s="334"/>
      <c r="N16" s="659"/>
      <c r="O16" s="23">
        <v>46</v>
      </c>
      <c r="P16" s="22">
        <v>22</v>
      </c>
      <c r="Q16" s="23">
        <v>131</v>
      </c>
      <c r="R16" s="24">
        <v>11</v>
      </c>
      <c r="S16" s="22">
        <v>42</v>
      </c>
      <c r="T16" s="14"/>
      <c r="U16" s="210">
        <f t="shared" si="5"/>
        <v>40</v>
      </c>
      <c r="V16" s="213">
        <f t="shared" si="5"/>
        <v>0</v>
      </c>
      <c r="W16" s="213">
        <f t="shared" si="5"/>
        <v>0</v>
      </c>
      <c r="X16" s="210">
        <f t="shared" si="6"/>
        <v>46</v>
      </c>
      <c r="Y16" s="213">
        <f t="shared" si="1"/>
        <v>22</v>
      </c>
      <c r="Z16" s="210">
        <f t="shared" si="2"/>
        <v>131</v>
      </c>
      <c r="AA16" s="219">
        <f t="shared" si="3"/>
        <v>11</v>
      </c>
      <c r="AB16" s="216">
        <f t="shared" si="4"/>
        <v>42</v>
      </c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</row>
    <row r="17" spans="2:73" s="79" customFormat="1" ht="13.5" thickBot="1" x14ac:dyDescent="0.25">
      <c r="B17" s="6"/>
      <c r="C17" s="941"/>
      <c r="D17" s="941"/>
      <c r="E17" s="941"/>
      <c r="F17" s="942"/>
      <c r="G17" s="941"/>
      <c r="H17" s="941"/>
      <c r="I17" s="941"/>
      <c r="J17" s="943"/>
      <c r="K17" s="26"/>
      <c r="L17" s="15"/>
      <c r="M17" s="13"/>
      <c r="N17" s="13"/>
      <c r="O17" s="25"/>
      <c r="P17" s="13"/>
      <c r="Q17" s="13"/>
      <c r="R17" s="13"/>
      <c r="S17" s="16"/>
      <c r="T17" s="26"/>
      <c r="U17" s="15"/>
      <c r="V17" s="13"/>
      <c r="W17" s="13"/>
      <c r="X17" s="25"/>
      <c r="Y17" s="13"/>
      <c r="Z17" s="13"/>
      <c r="AA17" s="13"/>
      <c r="AB17" s="1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</row>
    <row r="18" spans="2:73" s="79" customFormat="1" ht="0.75" hidden="1" customHeight="1" thickBot="1" x14ac:dyDescent="0.25">
      <c r="B18" s="6"/>
      <c r="C18" s="944"/>
      <c r="D18" s="944"/>
      <c r="E18" s="944"/>
      <c r="F18" s="945"/>
      <c r="G18" s="944"/>
      <c r="H18" s="944"/>
      <c r="I18" s="944"/>
      <c r="J18" s="946"/>
      <c r="K18" s="26"/>
      <c r="L18" s="29"/>
      <c r="M18" s="26"/>
      <c r="N18" s="26"/>
      <c r="O18" s="28"/>
      <c r="P18" s="26"/>
      <c r="Q18" s="26"/>
      <c r="R18" s="26"/>
      <c r="S18" s="18"/>
      <c r="T18" s="26"/>
      <c r="U18" s="29"/>
      <c r="V18" s="26"/>
      <c r="W18" s="26"/>
      <c r="X18" s="28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</row>
    <row r="19" spans="2:73" s="74" customFormat="1" ht="12.95" customHeight="1" x14ac:dyDescent="0.2">
      <c r="B19" s="17" t="s">
        <v>10</v>
      </c>
      <c r="C19" s="947">
        <v>18</v>
      </c>
      <c r="D19" s="948"/>
      <c r="E19" s="949"/>
      <c r="F19" s="950">
        <v>18</v>
      </c>
      <c r="G19" s="948"/>
      <c r="H19" s="950">
        <v>58</v>
      </c>
      <c r="I19" s="951">
        <v>16</v>
      </c>
      <c r="J19" s="952">
        <v>11</v>
      </c>
      <c r="K19" s="14"/>
      <c r="L19" s="19">
        <v>16</v>
      </c>
      <c r="M19" s="332"/>
      <c r="N19" s="394"/>
      <c r="O19" s="19">
        <v>18</v>
      </c>
      <c r="P19" s="332"/>
      <c r="Q19" s="19">
        <v>58</v>
      </c>
      <c r="R19" s="20">
        <v>16</v>
      </c>
      <c r="S19" s="21">
        <v>11</v>
      </c>
      <c r="T19" s="14"/>
      <c r="U19" s="208">
        <f t="shared" ref="U19:W22" si="12">IF(L19&lt;=C19,L19,IF(C19&lt;=L19,C19))</f>
        <v>16</v>
      </c>
      <c r="V19" s="220">
        <f t="shared" si="12"/>
        <v>0</v>
      </c>
      <c r="W19" s="220">
        <f t="shared" si="12"/>
        <v>0</v>
      </c>
      <c r="X19" s="208">
        <f t="shared" ref="X19" si="13">IF(O19&lt;=F19,O19,IF(F19&lt;=O19,F19))</f>
        <v>18</v>
      </c>
      <c r="Y19" s="220">
        <f t="shared" ref="Y19" si="14">IF(P19&lt;=G19,P19,IF(G19&lt;=P19,G19))</f>
        <v>0</v>
      </c>
      <c r="Z19" s="208">
        <f t="shared" ref="Z19" si="15">IF(Q19&lt;=H19,Q19,IF(H19&lt;=Q19,H19))</f>
        <v>58</v>
      </c>
      <c r="AA19" s="221">
        <f t="shared" ref="AA19" si="16">IF(R19&lt;=I19,R19,IF(I19&lt;=R19,I19))</f>
        <v>16</v>
      </c>
      <c r="AB19" s="214">
        <f t="shared" ref="AB19" si="17">IF(S19&lt;=J19,S19,IF(J19&lt;=S19,J19))</f>
        <v>11</v>
      </c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</row>
    <row r="20" spans="2:73" s="74" customFormat="1" ht="12.95" customHeight="1" x14ac:dyDescent="0.2">
      <c r="B20" s="200" t="s">
        <v>159</v>
      </c>
      <c r="C20" s="926">
        <v>26</v>
      </c>
      <c r="D20" s="927"/>
      <c r="E20" s="928"/>
      <c r="F20" s="929"/>
      <c r="G20" s="933"/>
      <c r="H20" s="929">
        <v>24</v>
      </c>
      <c r="I20" s="931">
        <v>6</v>
      </c>
      <c r="J20" s="932">
        <v>5</v>
      </c>
      <c r="K20" s="14"/>
      <c r="L20" s="202">
        <v>26</v>
      </c>
      <c r="M20" s="333"/>
      <c r="N20" s="348"/>
      <c r="O20" s="202"/>
      <c r="P20" s="357"/>
      <c r="Q20" s="202">
        <v>23</v>
      </c>
      <c r="R20" s="203">
        <v>6</v>
      </c>
      <c r="S20" s="204">
        <v>5</v>
      </c>
      <c r="T20" s="14"/>
      <c r="U20" s="209">
        <f t="shared" si="12"/>
        <v>26</v>
      </c>
      <c r="V20" s="212">
        <f t="shared" si="12"/>
        <v>0</v>
      </c>
      <c r="W20" s="212">
        <f t="shared" si="12"/>
        <v>0</v>
      </c>
      <c r="X20" s="209">
        <f t="shared" ref="X20:X24" si="18">IF(O20&lt;=F20,O20,IF(F20&lt;=O20,F20))</f>
        <v>0</v>
      </c>
      <c r="Y20" s="212">
        <f t="shared" ref="Y20:Y24" si="19">IF(P20&lt;=G20,P20,IF(G20&lt;=P20,G20))</f>
        <v>0</v>
      </c>
      <c r="Z20" s="209">
        <f t="shared" ref="Z20:Z24" si="20">IF(Q20&lt;=H20,Q20,IF(H20&lt;=Q20,H20))</f>
        <v>23</v>
      </c>
      <c r="AA20" s="218">
        <f t="shared" ref="AA20:AA24" si="21">IF(R20&lt;=I20,R20,IF(I20&lt;=R20,I20))</f>
        <v>6</v>
      </c>
      <c r="AB20" s="215">
        <f t="shared" ref="AB20:AB24" si="22">IF(S20&lt;=J20,S20,IF(J20&lt;=S20,J20))</f>
        <v>5</v>
      </c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</row>
    <row r="21" spans="2:73" s="634" customFormat="1" ht="12.95" customHeight="1" x14ac:dyDescent="0.2">
      <c r="B21" s="444" t="s">
        <v>11</v>
      </c>
      <c r="C21" s="909">
        <v>4</v>
      </c>
      <c r="D21" s="916"/>
      <c r="E21" s="917"/>
      <c r="F21" s="953"/>
      <c r="G21" s="916"/>
      <c r="H21" s="912">
        <v>42</v>
      </c>
      <c r="I21" s="918"/>
      <c r="J21" s="919"/>
      <c r="K21" s="435"/>
      <c r="L21" s="446">
        <v>4</v>
      </c>
      <c r="M21" s="445"/>
      <c r="N21" s="636"/>
      <c r="O21" s="637"/>
      <c r="P21" s="445"/>
      <c r="Q21" s="446">
        <v>42</v>
      </c>
      <c r="R21" s="447"/>
      <c r="S21" s="448"/>
      <c r="T21" s="435"/>
      <c r="U21" s="441">
        <f t="shared" si="12"/>
        <v>4</v>
      </c>
      <c r="V21" s="440">
        <f t="shared" si="12"/>
        <v>0</v>
      </c>
      <c r="W21" s="440">
        <f t="shared" si="12"/>
        <v>0</v>
      </c>
      <c r="X21" s="441">
        <f t="shared" si="18"/>
        <v>0</v>
      </c>
      <c r="Y21" s="440">
        <f t="shared" si="19"/>
        <v>0</v>
      </c>
      <c r="Z21" s="441">
        <f t="shared" si="20"/>
        <v>42</v>
      </c>
      <c r="AA21" s="442">
        <f t="shared" si="21"/>
        <v>0</v>
      </c>
      <c r="AB21" s="443">
        <f>IF(S21&lt;=J21,S21,IF(J21&lt;=S21,J21))</f>
        <v>0</v>
      </c>
      <c r="AC21" s="435"/>
      <c r="AD21" s="435"/>
      <c r="AE21" s="435"/>
      <c r="AF21" s="435"/>
      <c r="AG21" s="435"/>
      <c r="AH21" s="435"/>
      <c r="AI21" s="435"/>
      <c r="AJ21" s="435"/>
      <c r="AK21" s="435"/>
      <c r="AL21" s="435"/>
      <c r="AM21" s="435"/>
      <c r="AN21" s="435"/>
      <c r="AO21" s="435"/>
      <c r="AP21" s="435"/>
      <c r="AQ21" s="435"/>
      <c r="AR21" s="435"/>
      <c r="AS21" s="435"/>
      <c r="AT21" s="435"/>
      <c r="AU21" s="435"/>
      <c r="AV21" s="435"/>
      <c r="AW21" s="435"/>
      <c r="AX21" s="435"/>
      <c r="AY21" s="435"/>
      <c r="AZ21" s="435"/>
      <c r="BA21" s="435"/>
      <c r="BB21" s="435"/>
      <c r="BC21" s="435"/>
      <c r="BD21" s="435"/>
      <c r="BE21" s="435"/>
      <c r="BF21" s="435"/>
      <c r="BG21" s="435"/>
      <c r="BH21" s="435"/>
      <c r="BI21" s="435"/>
      <c r="BJ21" s="435"/>
      <c r="BK21" s="435"/>
      <c r="BL21" s="435"/>
      <c r="BM21" s="435"/>
      <c r="BN21" s="435"/>
      <c r="BO21" s="435"/>
      <c r="BP21" s="435"/>
      <c r="BQ21" s="435"/>
      <c r="BR21" s="435"/>
      <c r="BS21" s="435"/>
      <c r="BT21" s="435"/>
      <c r="BU21" s="435"/>
    </row>
    <row r="22" spans="2:73" s="74" customFormat="1" ht="12.95" customHeight="1" x14ac:dyDescent="0.2">
      <c r="B22" s="200" t="s">
        <v>13</v>
      </c>
      <c r="C22" s="909">
        <v>65</v>
      </c>
      <c r="D22" s="927"/>
      <c r="E22" s="928"/>
      <c r="F22" s="929">
        <v>19</v>
      </c>
      <c r="G22" s="933">
        <v>5</v>
      </c>
      <c r="H22" s="912">
        <v>64</v>
      </c>
      <c r="I22" s="931">
        <v>7</v>
      </c>
      <c r="J22" s="932">
        <v>4</v>
      </c>
      <c r="K22" s="14"/>
      <c r="L22" s="446">
        <v>65</v>
      </c>
      <c r="M22" s="333"/>
      <c r="N22" s="348"/>
      <c r="O22" s="202">
        <v>19</v>
      </c>
      <c r="P22" s="357">
        <v>5</v>
      </c>
      <c r="Q22" s="446">
        <v>64</v>
      </c>
      <c r="R22" s="203">
        <v>7</v>
      </c>
      <c r="S22" s="204">
        <v>4</v>
      </c>
      <c r="T22" s="14"/>
      <c r="U22" s="209">
        <f t="shared" si="12"/>
        <v>65</v>
      </c>
      <c r="V22" s="212">
        <f t="shared" si="12"/>
        <v>0</v>
      </c>
      <c r="W22" s="212">
        <f t="shared" si="12"/>
        <v>0</v>
      </c>
      <c r="X22" s="209">
        <f t="shared" si="18"/>
        <v>19</v>
      </c>
      <c r="Y22" s="212">
        <f t="shared" si="19"/>
        <v>5</v>
      </c>
      <c r="Z22" s="209">
        <f t="shared" si="20"/>
        <v>64</v>
      </c>
      <c r="AA22" s="218">
        <f t="shared" si="21"/>
        <v>7</v>
      </c>
      <c r="AB22" s="215">
        <f t="shared" si="22"/>
        <v>4</v>
      </c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</row>
    <row r="23" spans="2:73" s="74" customFormat="1" ht="12.95" customHeight="1" x14ac:dyDescent="0.2">
      <c r="B23" s="510" t="s">
        <v>278</v>
      </c>
      <c r="C23" s="954">
        <v>43</v>
      </c>
      <c r="D23" s="955"/>
      <c r="E23" s="956"/>
      <c r="F23" s="957"/>
      <c r="G23" s="958"/>
      <c r="H23" s="957">
        <v>148</v>
      </c>
      <c r="I23" s="959">
        <v>34</v>
      </c>
      <c r="J23" s="960">
        <v>24</v>
      </c>
      <c r="K23" s="516"/>
      <c r="L23" s="512">
        <v>41</v>
      </c>
      <c r="M23" s="511"/>
      <c r="N23" s="660"/>
      <c r="O23" s="512"/>
      <c r="P23" s="513"/>
      <c r="Q23" s="512">
        <v>146</v>
      </c>
      <c r="R23" s="514">
        <v>33</v>
      </c>
      <c r="S23" s="515">
        <v>24</v>
      </c>
      <c r="T23" s="516"/>
      <c r="U23" s="517">
        <f>IF(L23&lt;=C23,L23,IF(C23&lt;=L23,C23))</f>
        <v>41</v>
      </c>
      <c r="V23" s="488"/>
      <c r="W23" s="212">
        <f>IF(N23&lt;=E23,N23,IF(E23&lt;=N23,E23))</f>
        <v>0</v>
      </c>
      <c r="X23" s="517"/>
      <c r="Y23" s="488"/>
      <c r="Z23" s="517">
        <f t="shared" si="20"/>
        <v>146</v>
      </c>
      <c r="AA23" s="518">
        <f t="shared" si="21"/>
        <v>33</v>
      </c>
      <c r="AB23" s="519">
        <f t="shared" si="22"/>
        <v>24</v>
      </c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</row>
    <row r="24" spans="2:73" s="74" customFormat="1" ht="13.5" thickBot="1" x14ac:dyDescent="0.25">
      <c r="B24" s="370" t="s">
        <v>14</v>
      </c>
      <c r="C24" s="961">
        <v>28</v>
      </c>
      <c r="D24" s="962"/>
      <c r="E24" s="963"/>
      <c r="F24" s="964">
        <v>28</v>
      </c>
      <c r="G24" s="965">
        <v>8</v>
      </c>
      <c r="H24" s="964">
        <v>79</v>
      </c>
      <c r="I24" s="966">
        <v>5</v>
      </c>
      <c r="J24" s="965">
        <v>2</v>
      </c>
      <c r="K24" s="521"/>
      <c r="L24" s="400">
        <v>28</v>
      </c>
      <c r="M24" s="520"/>
      <c r="N24" s="662"/>
      <c r="O24" s="400">
        <v>28</v>
      </c>
      <c r="P24" s="520">
        <v>8</v>
      </c>
      <c r="Q24" s="400">
        <v>79</v>
      </c>
      <c r="R24" s="403">
        <v>4</v>
      </c>
      <c r="S24" s="520">
        <v>2</v>
      </c>
      <c r="T24" s="522"/>
      <c r="U24" s="523">
        <f>IF(L24&lt;=C24,L24,IF(C24&lt;=L24,C24))</f>
        <v>28</v>
      </c>
      <c r="V24" s="433">
        <f>IF(M24&lt;=D24,M24,IF(D24&lt;=M24,D24))</f>
        <v>0</v>
      </c>
      <c r="W24" s="433">
        <f>IF(N24&lt;=E24,N24,IF(E24&lt;=N24,E24))</f>
        <v>0</v>
      </c>
      <c r="X24" s="523">
        <f t="shared" si="18"/>
        <v>28</v>
      </c>
      <c r="Y24" s="433">
        <f t="shared" si="19"/>
        <v>8</v>
      </c>
      <c r="Z24" s="523">
        <f t="shared" si="20"/>
        <v>79</v>
      </c>
      <c r="AA24" s="378">
        <f t="shared" si="21"/>
        <v>4</v>
      </c>
      <c r="AB24" s="379">
        <f t="shared" si="22"/>
        <v>2</v>
      </c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</row>
    <row r="25" spans="2:73" s="27" customFormat="1" ht="13.5" thickBot="1" x14ac:dyDescent="0.25">
      <c r="B25" s="6"/>
      <c r="C25" s="941"/>
      <c r="D25" s="941"/>
      <c r="E25" s="941"/>
      <c r="F25" s="941"/>
      <c r="G25" s="941"/>
      <c r="H25" s="941"/>
      <c r="I25" s="967"/>
      <c r="J25" s="968"/>
      <c r="K25" s="360"/>
      <c r="L25" s="361"/>
      <c r="M25" s="359"/>
      <c r="N25" s="359"/>
      <c r="O25" s="359"/>
      <c r="P25" s="359"/>
      <c r="Q25" s="359"/>
      <c r="R25" s="359"/>
      <c r="S25" s="362"/>
      <c r="T25" s="26"/>
      <c r="U25" s="15"/>
      <c r="V25" s="13"/>
      <c r="W25" s="13"/>
      <c r="X25" s="13"/>
      <c r="Y25" s="13"/>
      <c r="Z25" s="13"/>
      <c r="AA25" s="13"/>
      <c r="AB25" s="1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</row>
    <row r="26" spans="2:73" s="27" customFormat="1" ht="4.5" hidden="1" customHeight="1" thickBot="1" x14ac:dyDescent="0.25">
      <c r="B26" s="6"/>
      <c r="C26" s="944"/>
      <c r="D26" s="944"/>
      <c r="E26" s="944"/>
      <c r="F26" s="944"/>
      <c r="G26" s="944"/>
      <c r="H26" s="944"/>
      <c r="I26" s="944"/>
      <c r="J26" s="946"/>
      <c r="K26" s="26"/>
      <c r="L26" s="29"/>
      <c r="M26" s="26"/>
      <c r="N26" s="26"/>
      <c r="O26" s="26"/>
      <c r="P26" s="26"/>
      <c r="Q26" s="26"/>
      <c r="R26" s="26"/>
      <c r="S26" s="18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</row>
    <row r="27" spans="2:73" s="74" customFormat="1" ht="12.95" customHeight="1" x14ac:dyDescent="0.2">
      <c r="B27" s="17" t="s">
        <v>15</v>
      </c>
      <c r="C27" s="909">
        <v>22</v>
      </c>
      <c r="D27" s="927"/>
      <c r="E27" s="928"/>
      <c r="F27" s="929">
        <v>10</v>
      </c>
      <c r="G27" s="930">
        <v>4</v>
      </c>
      <c r="H27" s="912">
        <v>434</v>
      </c>
      <c r="I27" s="969"/>
      <c r="J27" s="932">
        <v>69</v>
      </c>
      <c r="K27" s="14"/>
      <c r="L27" s="19">
        <v>22</v>
      </c>
      <c r="M27" s="332"/>
      <c r="N27" s="394"/>
      <c r="O27" s="19">
        <v>10</v>
      </c>
      <c r="P27" s="18">
        <v>4</v>
      </c>
      <c r="Q27" s="19">
        <v>434</v>
      </c>
      <c r="R27" s="339"/>
      <c r="S27" s="21">
        <v>69</v>
      </c>
      <c r="T27" s="14"/>
      <c r="U27" s="208">
        <f t="shared" ref="U27:U35" si="23">IF(L27&lt;=C27,L27,IF(C27&lt;=L27,C27))</f>
        <v>22</v>
      </c>
      <c r="V27" s="220">
        <f t="shared" ref="V27:V35" si="24">IF(M27&lt;=D27,M27,IF(D27&lt;=M27,D27))</f>
        <v>0</v>
      </c>
      <c r="W27" s="220">
        <f t="shared" ref="W27:W35" si="25">IF(N27&lt;=E27,N27,IF(E27&lt;=N27,E27))</f>
        <v>0</v>
      </c>
      <c r="X27" s="208">
        <f t="shared" ref="X27" si="26">IF(O27&lt;=F27,O27,IF(F27&lt;=O27,F27))</f>
        <v>10</v>
      </c>
      <c r="Y27" s="220">
        <f t="shared" ref="Y27" si="27">IF(P27&lt;=G27,P27,IF(G27&lt;=P27,G27))</f>
        <v>4</v>
      </c>
      <c r="Z27" s="208">
        <f t="shared" ref="Z27" si="28">IF(Q27&lt;=H27,Q27,IF(H27&lt;=Q27,H27))</f>
        <v>434</v>
      </c>
      <c r="AA27" s="221">
        <f t="shared" ref="AA27" si="29">IF(R27&lt;=I27,R27,IF(I27&lt;=R27,I27))</f>
        <v>0</v>
      </c>
      <c r="AB27" s="214">
        <f t="shared" ref="AB27" si="30">IF(S27&lt;=J27,S27,IF(J27&lt;=S27,J27))</f>
        <v>69</v>
      </c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</row>
    <row r="28" spans="2:73" s="74" customFormat="1" ht="12.95" customHeight="1" x14ac:dyDescent="0.2">
      <c r="B28" s="200" t="s">
        <v>16</v>
      </c>
      <c r="C28" s="926">
        <v>50</v>
      </c>
      <c r="D28" s="927"/>
      <c r="E28" s="928"/>
      <c r="F28" s="912">
        <v>38</v>
      </c>
      <c r="G28" s="927"/>
      <c r="H28" s="929">
        <v>426</v>
      </c>
      <c r="I28" s="931">
        <v>24</v>
      </c>
      <c r="J28" s="932">
        <v>84</v>
      </c>
      <c r="K28" s="14"/>
      <c r="L28" s="202">
        <v>50</v>
      </c>
      <c r="M28" s="333"/>
      <c r="N28" s="348"/>
      <c r="O28" s="446">
        <v>38</v>
      </c>
      <c r="P28" s="333"/>
      <c r="Q28" s="202">
        <v>426</v>
      </c>
      <c r="R28" s="203">
        <v>24</v>
      </c>
      <c r="S28" s="204">
        <v>84</v>
      </c>
      <c r="T28" s="14"/>
      <c r="U28" s="209">
        <f t="shared" si="23"/>
        <v>50</v>
      </c>
      <c r="V28" s="212">
        <f t="shared" si="24"/>
        <v>0</v>
      </c>
      <c r="W28" s="212">
        <f t="shared" si="25"/>
        <v>0</v>
      </c>
      <c r="X28" s="209">
        <f t="shared" ref="X28:X35" si="31">IF(O28&lt;=F28,O28,IF(F28&lt;=O28,F28))</f>
        <v>38</v>
      </c>
      <c r="Y28" s="212">
        <f t="shared" ref="Y28:Y35" si="32">IF(P28&lt;=G28,P28,IF(G28&lt;=P28,G28))</f>
        <v>0</v>
      </c>
      <c r="Z28" s="209">
        <f t="shared" ref="Z28:AB35" si="33">IF(Q28&lt;=H28,Q28,IF(H28&lt;=Q28,H28))</f>
        <v>426</v>
      </c>
      <c r="AA28" s="218">
        <f t="shared" si="33"/>
        <v>24</v>
      </c>
      <c r="AB28" s="215">
        <f t="shared" si="33"/>
        <v>84</v>
      </c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</row>
    <row r="29" spans="2:73" s="74" customFormat="1" ht="12.95" customHeight="1" x14ac:dyDescent="0.2">
      <c r="B29" s="200" t="s">
        <v>17</v>
      </c>
      <c r="C29" s="970">
        <v>41</v>
      </c>
      <c r="D29" s="927"/>
      <c r="E29" s="928"/>
      <c r="F29" s="929">
        <v>52</v>
      </c>
      <c r="G29" s="930">
        <v>8</v>
      </c>
      <c r="H29" s="912">
        <v>449</v>
      </c>
      <c r="I29" s="931">
        <v>22</v>
      </c>
      <c r="J29" s="932">
        <v>74</v>
      </c>
      <c r="K29" s="14"/>
      <c r="L29" s="397">
        <v>41</v>
      </c>
      <c r="M29" s="340"/>
      <c r="N29" s="663"/>
      <c r="O29" s="202">
        <v>52</v>
      </c>
      <c r="P29" s="201">
        <v>8</v>
      </c>
      <c r="Q29" s="202">
        <v>449</v>
      </c>
      <c r="R29" s="203">
        <v>22</v>
      </c>
      <c r="S29" s="204">
        <v>74</v>
      </c>
      <c r="T29" s="14"/>
      <c r="U29" s="209">
        <f t="shared" si="23"/>
        <v>41</v>
      </c>
      <c r="V29" s="212">
        <f t="shared" si="24"/>
        <v>0</v>
      </c>
      <c r="W29" s="212">
        <f t="shared" si="25"/>
        <v>0</v>
      </c>
      <c r="X29" s="209">
        <f t="shared" si="31"/>
        <v>52</v>
      </c>
      <c r="Y29" s="212">
        <f t="shared" si="32"/>
        <v>8</v>
      </c>
      <c r="Z29" s="209">
        <f t="shared" si="33"/>
        <v>449</v>
      </c>
      <c r="AA29" s="218">
        <f t="shared" si="33"/>
        <v>22</v>
      </c>
      <c r="AB29" s="215">
        <f t="shared" si="33"/>
        <v>74</v>
      </c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</row>
    <row r="30" spans="2:73" s="74" customFormat="1" ht="12.95" customHeight="1" x14ac:dyDescent="0.2">
      <c r="B30" s="200" t="s">
        <v>18</v>
      </c>
      <c r="C30" s="926">
        <v>56</v>
      </c>
      <c r="D30" s="927"/>
      <c r="E30" s="928"/>
      <c r="F30" s="929">
        <v>76</v>
      </c>
      <c r="G30" s="930">
        <v>8</v>
      </c>
      <c r="H30" s="929">
        <v>333</v>
      </c>
      <c r="I30" s="934"/>
      <c r="J30" s="932">
        <v>68</v>
      </c>
      <c r="K30" s="14"/>
      <c r="L30" s="202">
        <v>56</v>
      </c>
      <c r="M30" s="333"/>
      <c r="N30" s="348"/>
      <c r="O30" s="202">
        <v>76</v>
      </c>
      <c r="P30" s="449">
        <v>8</v>
      </c>
      <c r="Q30" s="202">
        <v>333</v>
      </c>
      <c r="R30" s="356"/>
      <c r="S30" s="204">
        <v>68</v>
      </c>
      <c r="T30" s="14"/>
      <c r="U30" s="209">
        <f t="shared" si="23"/>
        <v>56</v>
      </c>
      <c r="V30" s="212">
        <f t="shared" si="24"/>
        <v>0</v>
      </c>
      <c r="W30" s="212">
        <f t="shared" si="25"/>
        <v>0</v>
      </c>
      <c r="X30" s="209">
        <f t="shared" si="31"/>
        <v>76</v>
      </c>
      <c r="Y30" s="212">
        <f t="shared" si="32"/>
        <v>8</v>
      </c>
      <c r="Z30" s="209">
        <f t="shared" si="33"/>
        <v>333</v>
      </c>
      <c r="AA30" s="218">
        <f t="shared" si="33"/>
        <v>0</v>
      </c>
      <c r="AB30" s="215">
        <f t="shared" si="33"/>
        <v>68</v>
      </c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</row>
    <row r="31" spans="2:73" s="74" customFormat="1" ht="12.95" customHeight="1" x14ac:dyDescent="0.2">
      <c r="B31" s="200" t="s">
        <v>19</v>
      </c>
      <c r="C31" s="926">
        <v>62</v>
      </c>
      <c r="D31" s="927"/>
      <c r="E31" s="971">
        <v>38</v>
      </c>
      <c r="F31" s="929">
        <v>68</v>
      </c>
      <c r="G31" s="930">
        <v>2</v>
      </c>
      <c r="H31" s="929">
        <v>728</v>
      </c>
      <c r="I31" s="969"/>
      <c r="J31" s="932">
        <v>18</v>
      </c>
      <c r="K31" s="14"/>
      <c r="L31" s="202">
        <v>62</v>
      </c>
      <c r="M31" s="333"/>
      <c r="N31" s="664">
        <v>38</v>
      </c>
      <c r="O31" s="202">
        <v>68</v>
      </c>
      <c r="P31" s="201">
        <v>2</v>
      </c>
      <c r="Q31" s="202">
        <v>728</v>
      </c>
      <c r="R31" s="335"/>
      <c r="S31" s="204">
        <v>18</v>
      </c>
      <c r="T31" s="14"/>
      <c r="U31" s="209">
        <f t="shared" si="23"/>
        <v>62</v>
      </c>
      <c r="V31" s="212">
        <f t="shared" si="24"/>
        <v>0</v>
      </c>
      <c r="W31" s="212">
        <f t="shared" si="25"/>
        <v>38</v>
      </c>
      <c r="X31" s="209">
        <f t="shared" si="31"/>
        <v>68</v>
      </c>
      <c r="Y31" s="212">
        <f t="shared" si="32"/>
        <v>2</v>
      </c>
      <c r="Z31" s="209">
        <f t="shared" si="33"/>
        <v>728</v>
      </c>
      <c r="AA31" s="218">
        <f t="shared" si="33"/>
        <v>0</v>
      </c>
      <c r="AB31" s="215">
        <f t="shared" si="33"/>
        <v>18</v>
      </c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</row>
    <row r="32" spans="2:73" s="74" customFormat="1" ht="12.95" customHeight="1" x14ac:dyDescent="0.2">
      <c r="B32" s="200" t="s">
        <v>20</v>
      </c>
      <c r="C32" s="926">
        <v>35</v>
      </c>
      <c r="D32" s="927"/>
      <c r="E32" s="971">
        <v>174</v>
      </c>
      <c r="F32" s="929">
        <v>2</v>
      </c>
      <c r="G32" s="930">
        <v>6</v>
      </c>
      <c r="H32" s="912">
        <v>393</v>
      </c>
      <c r="I32" s="969"/>
      <c r="J32" s="915">
        <v>65</v>
      </c>
      <c r="K32" s="14"/>
      <c r="L32" s="202">
        <v>35</v>
      </c>
      <c r="M32" s="333"/>
      <c r="N32" s="664">
        <v>174</v>
      </c>
      <c r="O32" s="202">
        <v>2</v>
      </c>
      <c r="P32" s="201">
        <v>6</v>
      </c>
      <c r="Q32" s="446">
        <v>391</v>
      </c>
      <c r="R32" s="335"/>
      <c r="S32" s="453">
        <v>65</v>
      </c>
      <c r="T32" s="14"/>
      <c r="U32" s="209">
        <f t="shared" si="23"/>
        <v>35</v>
      </c>
      <c r="V32" s="212">
        <f t="shared" si="24"/>
        <v>0</v>
      </c>
      <c r="W32" s="212">
        <f t="shared" si="25"/>
        <v>174</v>
      </c>
      <c r="X32" s="209">
        <f t="shared" si="31"/>
        <v>2</v>
      </c>
      <c r="Y32" s="212">
        <f t="shared" si="32"/>
        <v>6</v>
      </c>
      <c r="Z32" s="209">
        <f t="shared" si="33"/>
        <v>391</v>
      </c>
      <c r="AA32" s="218">
        <f t="shared" si="33"/>
        <v>0</v>
      </c>
      <c r="AB32" s="215">
        <f t="shared" si="33"/>
        <v>65</v>
      </c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</row>
    <row r="33" spans="2:73" s="74" customFormat="1" ht="13.5" customHeight="1" x14ac:dyDescent="0.2">
      <c r="B33" s="200" t="s">
        <v>21</v>
      </c>
      <c r="C33" s="970">
        <v>12</v>
      </c>
      <c r="D33" s="927"/>
      <c r="E33" s="928"/>
      <c r="F33" s="912">
        <v>26</v>
      </c>
      <c r="G33" s="930">
        <v>6</v>
      </c>
      <c r="H33" s="912">
        <v>282</v>
      </c>
      <c r="I33" s="969"/>
      <c r="J33" s="932">
        <v>60</v>
      </c>
      <c r="K33" s="14"/>
      <c r="L33" s="397">
        <v>12</v>
      </c>
      <c r="M33" s="333"/>
      <c r="N33" s="348"/>
      <c r="O33" s="202">
        <v>26</v>
      </c>
      <c r="P33" s="201">
        <v>6</v>
      </c>
      <c r="Q33" s="446">
        <v>282</v>
      </c>
      <c r="R33" s="335"/>
      <c r="S33" s="204">
        <v>60</v>
      </c>
      <c r="T33" s="14"/>
      <c r="U33" s="209">
        <f t="shared" si="23"/>
        <v>12</v>
      </c>
      <c r="V33" s="212">
        <f t="shared" si="24"/>
        <v>0</v>
      </c>
      <c r="W33" s="212">
        <f t="shared" si="25"/>
        <v>0</v>
      </c>
      <c r="X33" s="209">
        <f t="shared" si="31"/>
        <v>26</v>
      </c>
      <c r="Y33" s="212">
        <f t="shared" si="32"/>
        <v>6</v>
      </c>
      <c r="Z33" s="209">
        <f t="shared" si="33"/>
        <v>282</v>
      </c>
      <c r="AA33" s="218">
        <f t="shared" si="33"/>
        <v>0</v>
      </c>
      <c r="AB33" s="215">
        <f t="shared" si="33"/>
        <v>60</v>
      </c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</row>
    <row r="34" spans="2:73" s="74" customFormat="1" ht="13.5" customHeight="1" x14ac:dyDescent="0.2">
      <c r="B34" s="510" t="s">
        <v>279</v>
      </c>
      <c r="C34" s="972">
        <v>37</v>
      </c>
      <c r="D34" s="955"/>
      <c r="E34" s="956"/>
      <c r="F34" s="957">
        <v>10</v>
      </c>
      <c r="G34" s="960">
        <v>26</v>
      </c>
      <c r="H34" s="973">
        <v>301</v>
      </c>
      <c r="I34" s="974">
        <v>1</v>
      </c>
      <c r="J34" s="960">
        <v>61</v>
      </c>
      <c r="K34" s="516"/>
      <c r="L34" s="524">
        <v>37</v>
      </c>
      <c r="M34" s="511"/>
      <c r="N34" s="660"/>
      <c r="O34" s="512">
        <v>10</v>
      </c>
      <c r="P34" s="515">
        <v>26</v>
      </c>
      <c r="Q34" s="527">
        <v>301</v>
      </c>
      <c r="R34" s="526">
        <v>1</v>
      </c>
      <c r="S34" s="515">
        <v>61</v>
      </c>
      <c r="T34" s="516"/>
      <c r="U34" s="209">
        <f t="shared" si="23"/>
        <v>37</v>
      </c>
      <c r="V34" s="212">
        <f t="shared" si="24"/>
        <v>0</v>
      </c>
      <c r="W34" s="212">
        <f t="shared" si="25"/>
        <v>0</v>
      </c>
      <c r="X34" s="517">
        <f t="shared" si="31"/>
        <v>10</v>
      </c>
      <c r="Y34" s="212">
        <f t="shared" si="32"/>
        <v>26</v>
      </c>
      <c r="Z34" s="517">
        <f t="shared" si="33"/>
        <v>301</v>
      </c>
      <c r="AA34" s="218">
        <f t="shared" si="33"/>
        <v>1</v>
      </c>
      <c r="AB34" s="519">
        <f t="shared" si="33"/>
        <v>61</v>
      </c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</row>
    <row r="35" spans="2:73" s="74" customFormat="1" ht="13.5" thickBot="1" x14ac:dyDescent="0.25">
      <c r="B35" s="370" t="s">
        <v>22</v>
      </c>
      <c r="C35" s="961">
        <v>32</v>
      </c>
      <c r="D35" s="962"/>
      <c r="E35" s="963"/>
      <c r="F35" s="975"/>
      <c r="G35" s="962"/>
      <c r="H35" s="964">
        <v>419</v>
      </c>
      <c r="I35" s="976"/>
      <c r="J35" s="977">
        <v>31</v>
      </c>
      <c r="K35" s="522"/>
      <c r="L35" s="371">
        <v>32</v>
      </c>
      <c r="M35" s="372"/>
      <c r="N35" s="402"/>
      <c r="O35" s="404"/>
      <c r="P35" s="372"/>
      <c r="Q35" s="371">
        <v>419</v>
      </c>
      <c r="R35" s="405"/>
      <c r="S35" s="525">
        <v>31</v>
      </c>
      <c r="T35" s="522"/>
      <c r="U35" s="523">
        <f t="shared" si="23"/>
        <v>32</v>
      </c>
      <c r="V35" s="433">
        <f t="shared" si="24"/>
        <v>0</v>
      </c>
      <c r="W35" s="433">
        <f t="shared" si="25"/>
        <v>0</v>
      </c>
      <c r="X35" s="523">
        <f t="shared" si="31"/>
        <v>0</v>
      </c>
      <c r="Y35" s="433">
        <f t="shared" si="32"/>
        <v>0</v>
      </c>
      <c r="Z35" s="523">
        <f t="shared" si="33"/>
        <v>419</v>
      </c>
      <c r="AA35" s="378">
        <f t="shared" si="33"/>
        <v>0</v>
      </c>
      <c r="AB35" s="379">
        <f t="shared" si="33"/>
        <v>31</v>
      </c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</row>
    <row r="36" spans="2:73" s="27" customFormat="1" ht="13.5" thickBot="1" x14ac:dyDescent="0.25">
      <c r="B36" s="6"/>
      <c r="C36" s="941"/>
      <c r="D36" s="941"/>
      <c r="E36" s="941"/>
      <c r="F36" s="941"/>
      <c r="G36" s="941"/>
      <c r="H36" s="941"/>
      <c r="I36" s="941"/>
      <c r="J36" s="943"/>
      <c r="K36" s="26"/>
      <c r="L36" s="15"/>
      <c r="M36" s="13"/>
      <c r="N36" s="13"/>
      <c r="O36" s="13"/>
      <c r="P36" s="13"/>
      <c r="Q36" s="13"/>
      <c r="R36" s="13"/>
      <c r="S36" s="16"/>
      <c r="T36" s="26"/>
      <c r="U36" s="15"/>
      <c r="V36" s="13"/>
      <c r="W36" s="13"/>
      <c r="X36" s="13"/>
      <c r="Y36" s="13"/>
      <c r="Z36" s="13"/>
      <c r="AA36" s="13"/>
      <c r="AB36" s="1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</row>
    <row r="37" spans="2:73" s="27" customFormat="1" ht="4.5" hidden="1" customHeight="1" thickBot="1" x14ac:dyDescent="0.25">
      <c r="B37" s="6"/>
      <c r="C37" s="944"/>
      <c r="D37" s="944"/>
      <c r="E37" s="944"/>
      <c r="F37" s="944"/>
      <c r="G37" s="944"/>
      <c r="H37" s="944"/>
      <c r="I37" s="944"/>
      <c r="J37" s="946"/>
      <c r="K37" s="26"/>
      <c r="L37" s="29"/>
      <c r="M37" s="26"/>
      <c r="N37" s="26"/>
      <c r="O37" s="26"/>
      <c r="P37" s="26"/>
      <c r="Q37" s="26"/>
      <c r="R37" s="26"/>
      <c r="S37" s="18"/>
      <c r="T37" s="26"/>
      <c r="U37" s="30"/>
      <c r="V37" s="31"/>
      <c r="W37" s="31"/>
      <c r="X37" s="31"/>
      <c r="Y37" s="31"/>
      <c r="Z37" s="31"/>
      <c r="AA37" s="31"/>
      <c r="AB37" s="32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</row>
    <row r="38" spans="2:73" s="74" customFormat="1" ht="13.5" customHeight="1" x14ac:dyDescent="0.2">
      <c r="B38" s="17" t="s">
        <v>23</v>
      </c>
      <c r="C38" s="947">
        <v>17</v>
      </c>
      <c r="D38" s="948"/>
      <c r="E38" s="949"/>
      <c r="F38" s="978"/>
      <c r="G38" s="948"/>
      <c r="H38" s="950">
        <v>187</v>
      </c>
      <c r="I38" s="979"/>
      <c r="J38" s="980"/>
      <c r="K38" s="14"/>
      <c r="L38" s="19">
        <v>17</v>
      </c>
      <c r="M38" s="332"/>
      <c r="N38" s="394"/>
      <c r="O38" s="343"/>
      <c r="P38" s="332"/>
      <c r="Q38" s="19">
        <v>187</v>
      </c>
      <c r="R38" s="339"/>
      <c r="S38" s="342"/>
      <c r="T38" s="14"/>
      <c r="U38" s="222">
        <f t="shared" ref="U38:U47" si="34">IF(L38&lt;=C38,L38,IF(C38&lt;=L38,C38))</f>
        <v>17</v>
      </c>
      <c r="V38" s="211">
        <f t="shared" ref="V38:V47" si="35">IF(M38&lt;=D38,M38,IF(D38&lt;=M38,D38))</f>
        <v>0</v>
      </c>
      <c r="W38" s="211">
        <f t="shared" ref="W38:W47" si="36">IF(N38&lt;=E38,N38,IF(E38&lt;=N38,E38))</f>
        <v>0</v>
      </c>
      <c r="X38" s="222">
        <f t="shared" ref="X38:X47" si="37">IF(O38&lt;=F38,O38,IF(F38&lt;=O38,F38))</f>
        <v>0</v>
      </c>
      <c r="Y38" s="211">
        <f t="shared" ref="Y38" si="38">IF(P38&lt;=G38,P38,IF(G38&lt;=P38,G38))</f>
        <v>0</v>
      </c>
      <c r="Z38" s="222">
        <f t="shared" ref="Z38:Z47" si="39">IF(Q38&lt;=H38,Q38,IF(H38&lt;=Q38,H38))</f>
        <v>187</v>
      </c>
      <c r="AA38" s="217">
        <f t="shared" ref="AA38:AA47" si="40">IF(R38&lt;=I38,R38,IF(I38&lt;=R38,I38))</f>
        <v>0</v>
      </c>
      <c r="AB38" s="214">
        <f t="shared" ref="AB38:AB47" si="41">IF(S38&lt;=J38,S38,IF(J38&lt;=S38,J38))</f>
        <v>0</v>
      </c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</row>
    <row r="39" spans="2:73" s="74" customFormat="1" ht="12.95" customHeight="1" x14ac:dyDescent="0.2">
      <c r="B39" s="200" t="s">
        <v>25</v>
      </c>
      <c r="C39" s="909">
        <v>61</v>
      </c>
      <c r="D39" s="927"/>
      <c r="E39" s="928"/>
      <c r="F39" s="929">
        <v>112</v>
      </c>
      <c r="G39" s="927"/>
      <c r="H39" s="929">
        <v>101</v>
      </c>
      <c r="I39" s="969"/>
      <c r="J39" s="981"/>
      <c r="K39" s="14"/>
      <c r="L39" s="202">
        <v>61</v>
      </c>
      <c r="M39" s="333"/>
      <c r="N39" s="348"/>
      <c r="O39" s="202">
        <v>112</v>
      </c>
      <c r="P39" s="333"/>
      <c r="Q39" s="202">
        <v>99</v>
      </c>
      <c r="R39" s="335"/>
      <c r="S39" s="337"/>
      <c r="T39" s="14"/>
      <c r="U39" s="209">
        <f t="shared" si="34"/>
        <v>61</v>
      </c>
      <c r="V39" s="212">
        <f t="shared" si="35"/>
        <v>0</v>
      </c>
      <c r="W39" s="212">
        <f t="shared" si="36"/>
        <v>0</v>
      </c>
      <c r="X39" s="209">
        <f t="shared" si="37"/>
        <v>112</v>
      </c>
      <c r="Y39" s="212">
        <f t="shared" ref="Y39:Y47" si="42">IF(P39&lt;=G39,P39,IF(G39&lt;=P39,G39))</f>
        <v>0</v>
      </c>
      <c r="Z39" s="209">
        <f t="shared" si="39"/>
        <v>99</v>
      </c>
      <c r="AA39" s="218">
        <f t="shared" si="40"/>
        <v>0</v>
      </c>
      <c r="AB39" s="215">
        <f t="shared" si="41"/>
        <v>0</v>
      </c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</row>
    <row r="40" spans="2:73" s="74" customFormat="1" ht="12.95" customHeight="1" x14ac:dyDescent="0.2">
      <c r="B40" s="200" t="s">
        <v>27</v>
      </c>
      <c r="C40" s="926">
        <v>14</v>
      </c>
      <c r="D40" s="927"/>
      <c r="E40" s="928"/>
      <c r="F40" s="929">
        <v>8</v>
      </c>
      <c r="G40" s="927"/>
      <c r="H40" s="929">
        <v>266</v>
      </c>
      <c r="I40" s="969"/>
      <c r="J40" s="981"/>
      <c r="K40" s="14"/>
      <c r="L40" s="202">
        <v>14</v>
      </c>
      <c r="M40" s="333"/>
      <c r="N40" s="348"/>
      <c r="O40" s="202">
        <v>8</v>
      </c>
      <c r="P40" s="333"/>
      <c r="Q40" s="202">
        <v>266</v>
      </c>
      <c r="R40" s="335"/>
      <c r="S40" s="337"/>
      <c r="T40" s="14"/>
      <c r="U40" s="209">
        <f t="shared" si="34"/>
        <v>14</v>
      </c>
      <c r="V40" s="212">
        <f t="shared" si="35"/>
        <v>0</v>
      </c>
      <c r="W40" s="212">
        <f t="shared" si="36"/>
        <v>0</v>
      </c>
      <c r="X40" s="209">
        <f t="shared" si="37"/>
        <v>8</v>
      </c>
      <c r="Y40" s="212">
        <f t="shared" si="42"/>
        <v>0</v>
      </c>
      <c r="Z40" s="209">
        <f t="shared" si="39"/>
        <v>266</v>
      </c>
      <c r="AA40" s="218">
        <f t="shared" si="40"/>
        <v>0</v>
      </c>
      <c r="AB40" s="215">
        <f t="shared" si="41"/>
        <v>0</v>
      </c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</row>
    <row r="41" spans="2:73" s="74" customFormat="1" ht="12.95" customHeight="1" x14ac:dyDescent="0.2">
      <c r="B41" s="200" t="s">
        <v>28</v>
      </c>
      <c r="C41" s="926">
        <v>19</v>
      </c>
      <c r="D41" s="927"/>
      <c r="E41" s="928"/>
      <c r="F41" s="982"/>
      <c r="G41" s="927"/>
      <c r="H41" s="912">
        <v>153</v>
      </c>
      <c r="I41" s="931"/>
      <c r="J41" s="932"/>
      <c r="K41" s="14"/>
      <c r="L41" s="202">
        <v>19</v>
      </c>
      <c r="M41" s="333"/>
      <c r="N41" s="348"/>
      <c r="O41" s="397"/>
      <c r="P41" s="333"/>
      <c r="Q41" s="446">
        <v>153</v>
      </c>
      <c r="R41" s="203"/>
      <c r="S41" s="204"/>
      <c r="T41" s="14"/>
      <c r="U41" s="209">
        <f t="shared" si="34"/>
        <v>19</v>
      </c>
      <c r="V41" s="212">
        <f t="shared" si="35"/>
        <v>0</v>
      </c>
      <c r="W41" s="212">
        <f t="shared" si="36"/>
        <v>0</v>
      </c>
      <c r="X41" s="209">
        <f t="shared" si="37"/>
        <v>0</v>
      </c>
      <c r="Y41" s="212">
        <f t="shared" si="42"/>
        <v>0</v>
      </c>
      <c r="Z41" s="209">
        <f t="shared" si="39"/>
        <v>153</v>
      </c>
      <c r="AA41" s="218">
        <f t="shared" si="40"/>
        <v>0</v>
      </c>
      <c r="AB41" s="215">
        <f t="shared" si="41"/>
        <v>0</v>
      </c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</row>
    <row r="42" spans="2:73" s="74" customFormat="1" ht="12.95" customHeight="1" x14ac:dyDescent="0.2">
      <c r="B42" s="200" t="s">
        <v>30</v>
      </c>
      <c r="C42" s="926">
        <v>58</v>
      </c>
      <c r="D42" s="927"/>
      <c r="E42" s="928"/>
      <c r="F42" s="929">
        <v>104</v>
      </c>
      <c r="G42" s="927"/>
      <c r="H42" s="929">
        <v>279</v>
      </c>
      <c r="I42" s="969"/>
      <c r="J42" s="981"/>
      <c r="K42" s="14"/>
      <c r="L42" s="202">
        <v>58</v>
      </c>
      <c r="M42" s="333"/>
      <c r="N42" s="348"/>
      <c r="O42" s="202">
        <v>104</v>
      </c>
      <c r="P42" s="333"/>
      <c r="Q42" s="202">
        <v>278</v>
      </c>
      <c r="R42" s="335"/>
      <c r="S42" s="337"/>
      <c r="T42" s="14"/>
      <c r="U42" s="209">
        <f t="shared" si="34"/>
        <v>58</v>
      </c>
      <c r="V42" s="212">
        <f t="shared" si="35"/>
        <v>0</v>
      </c>
      <c r="W42" s="212">
        <f t="shared" si="36"/>
        <v>0</v>
      </c>
      <c r="X42" s="209">
        <f t="shared" si="37"/>
        <v>104</v>
      </c>
      <c r="Y42" s="212">
        <f t="shared" si="42"/>
        <v>0</v>
      </c>
      <c r="Z42" s="209">
        <f t="shared" si="39"/>
        <v>278</v>
      </c>
      <c r="AA42" s="218">
        <f t="shared" si="40"/>
        <v>0</v>
      </c>
      <c r="AB42" s="215">
        <f t="shared" si="41"/>
        <v>0</v>
      </c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</row>
    <row r="43" spans="2:73" s="74" customFormat="1" ht="12.95" customHeight="1" x14ac:dyDescent="0.2">
      <c r="B43" s="200" t="s">
        <v>32</v>
      </c>
      <c r="C43" s="926">
        <v>50</v>
      </c>
      <c r="D43" s="927"/>
      <c r="E43" s="928"/>
      <c r="F43" s="929">
        <v>84</v>
      </c>
      <c r="G43" s="927"/>
      <c r="H43" s="929">
        <v>139</v>
      </c>
      <c r="I43" s="969"/>
      <c r="J43" s="981"/>
      <c r="K43" s="14"/>
      <c r="L43" s="202">
        <v>48</v>
      </c>
      <c r="M43" s="333"/>
      <c r="N43" s="348"/>
      <c r="O43" s="202">
        <v>84</v>
      </c>
      <c r="P43" s="333"/>
      <c r="Q43" s="202">
        <v>139</v>
      </c>
      <c r="R43" s="335"/>
      <c r="S43" s="337"/>
      <c r="T43" s="14"/>
      <c r="U43" s="209">
        <f t="shared" si="34"/>
        <v>48</v>
      </c>
      <c r="V43" s="212">
        <f t="shared" si="35"/>
        <v>0</v>
      </c>
      <c r="W43" s="212">
        <f t="shared" si="36"/>
        <v>0</v>
      </c>
      <c r="X43" s="209">
        <f t="shared" si="37"/>
        <v>84</v>
      </c>
      <c r="Y43" s="212">
        <f t="shared" si="42"/>
        <v>0</v>
      </c>
      <c r="Z43" s="209">
        <f t="shared" si="39"/>
        <v>139</v>
      </c>
      <c r="AA43" s="218">
        <f t="shared" si="40"/>
        <v>0</v>
      </c>
      <c r="AB43" s="215">
        <f t="shared" si="41"/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</row>
    <row r="44" spans="2:73" s="74" customFormat="1" ht="12.95" customHeight="1" x14ac:dyDescent="0.2">
      <c r="B44" s="200" t="s">
        <v>166</v>
      </c>
      <c r="C44" s="926">
        <v>42</v>
      </c>
      <c r="D44" s="927"/>
      <c r="E44" s="928"/>
      <c r="F44" s="929">
        <v>16</v>
      </c>
      <c r="G44" s="927"/>
      <c r="H44" s="912">
        <v>162</v>
      </c>
      <c r="I44" s="969"/>
      <c r="J44" s="981"/>
      <c r="K44" s="14"/>
      <c r="L44" s="202">
        <v>42</v>
      </c>
      <c r="M44" s="333"/>
      <c r="N44" s="348"/>
      <c r="O44" s="202">
        <v>16</v>
      </c>
      <c r="P44" s="333"/>
      <c r="Q44" s="202">
        <v>162</v>
      </c>
      <c r="R44" s="335"/>
      <c r="S44" s="337"/>
      <c r="T44" s="14"/>
      <c r="U44" s="209">
        <f t="shared" si="34"/>
        <v>42</v>
      </c>
      <c r="V44" s="212">
        <f t="shared" si="35"/>
        <v>0</v>
      </c>
      <c r="W44" s="212">
        <f t="shared" si="36"/>
        <v>0</v>
      </c>
      <c r="X44" s="209">
        <f t="shared" si="37"/>
        <v>16</v>
      </c>
      <c r="Y44" s="212">
        <f t="shared" si="42"/>
        <v>0</v>
      </c>
      <c r="Z44" s="209">
        <f t="shared" si="39"/>
        <v>162</v>
      </c>
      <c r="AA44" s="218">
        <f t="shared" si="40"/>
        <v>0</v>
      </c>
      <c r="AB44" s="215">
        <f t="shared" si="41"/>
        <v>0</v>
      </c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</row>
    <row r="45" spans="2:73" s="74" customFormat="1" ht="12.95" customHeight="1" x14ac:dyDescent="0.2">
      <c r="B45" s="200" t="s">
        <v>35</v>
      </c>
      <c r="C45" s="909">
        <v>351</v>
      </c>
      <c r="D45" s="927"/>
      <c r="E45" s="971"/>
      <c r="F45" s="982">
        <v>8</v>
      </c>
      <c r="G45" s="927"/>
      <c r="H45" s="912">
        <v>361</v>
      </c>
      <c r="I45" s="969"/>
      <c r="J45" s="981"/>
      <c r="K45" s="14"/>
      <c r="L45" s="202">
        <v>341</v>
      </c>
      <c r="M45" s="333"/>
      <c r="N45" s="348"/>
      <c r="O45" s="397">
        <v>8</v>
      </c>
      <c r="P45" s="333"/>
      <c r="Q45" s="202">
        <v>354</v>
      </c>
      <c r="R45" s="335"/>
      <c r="S45" s="337"/>
      <c r="T45" s="14"/>
      <c r="U45" s="209">
        <f t="shared" si="34"/>
        <v>341</v>
      </c>
      <c r="V45" s="212">
        <f t="shared" si="35"/>
        <v>0</v>
      </c>
      <c r="W45" s="212">
        <f t="shared" si="36"/>
        <v>0</v>
      </c>
      <c r="X45" s="209">
        <f t="shared" si="37"/>
        <v>8</v>
      </c>
      <c r="Y45" s="212">
        <f t="shared" si="42"/>
        <v>0</v>
      </c>
      <c r="Z45" s="209">
        <f t="shared" si="39"/>
        <v>354</v>
      </c>
      <c r="AA45" s="218">
        <f t="shared" si="40"/>
        <v>0</v>
      </c>
      <c r="AB45" s="215">
        <f t="shared" si="41"/>
        <v>0</v>
      </c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</row>
    <row r="46" spans="2:73" s="74" customFormat="1" ht="12.95" customHeight="1" x14ac:dyDescent="0.2">
      <c r="B46" s="200" t="s">
        <v>33</v>
      </c>
      <c r="C46" s="926">
        <v>77</v>
      </c>
      <c r="D46" s="927"/>
      <c r="E46" s="928"/>
      <c r="F46" s="929">
        <v>100</v>
      </c>
      <c r="G46" s="927"/>
      <c r="H46" s="929">
        <v>322</v>
      </c>
      <c r="I46" s="969"/>
      <c r="J46" s="981"/>
      <c r="K46" s="14"/>
      <c r="L46" s="202">
        <v>77</v>
      </c>
      <c r="M46" s="333"/>
      <c r="N46" s="348"/>
      <c r="O46" s="446">
        <v>100</v>
      </c>
      <c r="P46" s="333"/>
      <c r="Q46" s="202">
        <v>322</v>
      </c>
      <c r="R46" s="335"/>
      <c r="S46" s="337"/>
      <c r="T46" s="14"/>
      <c r="U46" s="209">
        <f t="shared" si="34"/>
        <v>77</v>
      </c>
      <c r="V46" s="212">
        <f t="shared" si="35"/>
        <v>0</v>
      </c>
      <c r="W46" s="212">
        <f t="shared" si="36"/>
        <v>0</v>
      </c>
      <c r="X46" s="209">
        <f t="shared" si="37"/>
        <v>100</v>
      </c>
      <c r="Y46" s="212">
        <f t="shared" si="42"/>
        <v>0</v>
      </c>
      <c r="Z46" s="209">
        <f t="shared" si="39"/>
        <v>322</v>
      </c>
      <c r="AA46" s="218">
        <f t="shared" si="40"/>
        <v>0</v>
      </c>
      <c r="AB46" s="215">
        <f t="shared" si="41"/>
        <v>0</v>
      </c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</row>
    <row r="47" spans="2:73" s="74" customFormat="1" ht="13.5" thickBot="1" x14ac:dyDescent="0.25">
      <c r="B47" s="34" t="s">
        <v>221</v>
      </c>
      <c r="C47" s="935">
        <v>108</v>
      </c>
      <c r="D47" s="936"/>
      <c r="E47" s="937"/>
      <c r="F47" s="938">
        <v>106</v>
      </c>
      <c r="G47" s="936"/>
      <c r="H47" s="938">
        <v>126</v>
      </c>
      <c r="I47" s="983"/>
      <c r="J47" s="936"/>
      <c r="K47" s="14"/>
      <c r="L47" s="23">
        <v>106</v>
      </c>
      <c r="M47" s="334"/>
      <c r="N47" s="659"/>
      <c r="O47" s="23">
        <v>100</v>
      </c>
      <c r="P47" s="334"/>
      <c r="Q47" s="23">
        <v>118</v>
      </c>
      <c r="R47" s="338"/>
      <c r="S47" s="334"/>
      <c r="T47" s="14"/>
      <c r="U47" s="223">
        <f t="shared" si="34"/>
        <v>106</v>
      </c>
      <c r="V47" s="213">
        <f t="shared" si="35"/>
        <v>0</v>
      </c>
      <c r="W47" s="213">
        <f t="shared" si="36"/>
        <v>0</v>
      </c>
      <c r="X47" s="223">
        <f t="shared" si="37"/>
        <v>100</v>
      </c>
      <c r="Y47" s="213">
        <f t="shared" si="42"/>
        <v>0</v>
      </c>
      <c r="Z47" s="223">
        <f t="shared" si="39"/>
        <v>118</v>
      </c>
      <c r="AA47" s="219">
        <f t="shared" si="40"/>
        <v>0</v>
      </c>
      <c r="AB47" s="216">
        <f t="shared" si="41"/>
        <v>0</v>
      </c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</row>
    <row r="48" spans="2:73" s="27" customFormat="1" x14ac:dyDescent="0.2">
      <c r="B48" s="6"/>
      <c r="C48" s="984"/>
      <c r="D48" s="984"/>
      <c r="E48" s="984"/>
      <c r="F48" s="984"/>
      <c r="G48" s="984"/>
      <c r="H48" s="984"/>
      <c r="I48" s="984"/>
      <c r="J48" s="946"/>
      <c r="K48" s="26"/>
      <c r="L48" s="29"/>
      <c r="M48" s="26"/>
      <c r="N48" s="26"/>
      <c r="O48" s="26"/>
      <c r="P48" s="26"/>
      <c r="Q48" s="26"/>
      <c r="R48" s="26"/>
      <c r="S48" s="18"/>
      <c r="T48" s="26"/>
      <c r="U48" s="29"/>
      <c r="V48" s="26"/>
      <c r="W48" s="26"/>
      <c r="X48" s="26"/>
      <c r="Y48" s="26"/>
      <c r="Z48" s="26"/>
      <c r="AA48" s="26"/>
      <c r="AB48" s="18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</row>
    <row r="49" spans="2:73" s="27" customFormat="1" ht="0.75" customHeight="1" thickBot="1" x14ac:dyDescent="0.25">
      <c r="B49" s="6"/>
      <c r="C49" s="984"/>
      <c r="D49" s="984"/>
      <c r="E49" s="984"/>
      <c r="F49" s="984"/>
      <c r="G49" s="984"/>
      <c r="H49" s="984"/>
      <c r="I49" s="984"/>
      <c r="J49" s="946"/>
      <c r="K49" s="26"/>
      <c r="L49" s="29"/>
      <c r="M49" s="26"/>
      <c r="N49" s="26"/>
      <c r="O49" s="26"/>
      <c r="P49" s="26"/>
      <c r="Q49" s="26"/>
      <c r="R49" s="26"/>
      <c r="S49" s="18"/>
      <c r="T49" s="26"/>
      <c r="U49" s="29"/>
      <c r="V49" s="26"/>
      <c r="W49" s="26"/>
      <c r="X49" s="26"/>
      <c r="Y49" s="26"/>
      <c r="Z49" s="26"/>
      <c r="AA49" s="26"/>
      <c r="AB49" s="18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</row>
    <row r="50" spans="2:73" s="74" customFormat="1" ht="12.95" customHeight="1" x14ac:dyDescent="0.2">
      <c r="B50" s="17" t="s">
        <v>37</v>
      </c>
      <c r="C50" s="985">
        <v>8</v>
      </c>
      <c r="D50" s="986"/>
      <c r="E50" s="987"/>
      <c r="F50" s="985">
        <v>34</v>
      </c>
      <c r="G50" s="986"/>
      <c r="H50" s="985">
        <v>326</v>
      </c>
      <c r="I50" s="988"/>
      <c r="J50" s="989"/>
      <c r="K50" s="14"/>
      <c r="L50" s="205">
        <v>8</v>
      </c>
      <c r="M50" s="346"/>
      <c r="N50" s="396"/>
      <c r="O50" s="205">
        <v>34</v>
      </c>
      <c r="P50" s="346"/>
      <c r="Q50" s="205">
        <v>326</v>
      </c>
      <c r="R50" s="345"/>
      <c r="S50" s="344"/>
      <c r="T50" s="14"/>
      <c r="U50" s="222">
        <f t="shared" ref="U50:W55" si="43">IF(L50&lt;=C50,L50,IF(C50&lt;=L50,C50))</f>
        <v>8</v>
      </c>
      <c r="V50" s="211">
        <f t="shared" si="43"/>
        <v>0</v>
      </c>
      <c r="W50" s="211">
        <f t="shared" si="43"/>
        <v>0</v>
      </c>
      <c r="X50" s="222">
        <f t="shared" ref="X50:X55" si="44">IF(O50&lt;=F50,O50,IF(F50&lt;=O50,F50))</f>
        <v>34</v>
      </c>
      <c r="Y50" s="211">
        <f t="shared" ref="Y50" si="45">IF(P50&lt;=G50,P50,IF(G50&lt;=P50,G50))</f>
        <v>0</v>
      </c>
      <c r="Z50" s="222">
        <f t="shared" ref="Z50:AB53" si="46">IF(Q50&lt;=H50,Q50,IF(H50&lt;=Q50,H50))</f>
        <v>326</v>
      </c>
      <c r="AA50" s="217">
        <f t="shared" si="46"/>
        <v>0</v>
      </c>
      <c r="AB50" s="214">
        <f t="shared" si="46"/>
        <v>0</v>
      </c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</row>
    <row r="51" spans="2:73" s="74" customFormat="1" ht="12.95" customHeight="1" x14ac:dyDescent="0.2">
      <c r="B51" s="200" t="s">
        <v>39</v>
      </c>
      <c r="C51" s="929">
        <v>34</v>
      </c>
      <c r="D51" s="927"/>
      <c r="E51" s="928"/>
      <c r="F51" s="990"/>
      <c r="G51" s="991">
        <v>22</v>
      </c>
      <c r="H51" s="929">
        <v>265</v>
      </c>
      <c r="I51" s="934">
        <v>6</v>
      </c>
      <c r="J51" s="992">
        <v>21</v>
      </c>
      <c r="K51" s="358"/>
      <c r="L51" s="364">
        <v>34</v>
      </c>
      <c r="M51" s="357"/>
      <c r="N51" s="664"/>
      <c r="O51" s="202"/>
      <c r="P51" s="380">
        <v>22</v>
      </c>
      <c r="Q51" s="365">
        <v>265</v>
      </c>
      <c r="R51" s="356">
        <v>6</v>
      </c>
      <c r="S51" s="363">
        <v>21</v>
      </c>
      <c r="T51" s="33"/>
      <c r="U51" s="209">
        <f t="shared" si="43"/>
        <v>34</v>
      </c>
      <c r="V51" s="212">
        <f t="shared" si="43"/>
        <v>0</v>
      </c>
      <c r="W51" s="212">
        <f t="shared" si="43"/>
        <v>0</v>
      </c>
      <c r="X51" s="209">
        <f t="shared" si="44"/>
        <v>0</v>
      </c>
      <c r="Y51" s="212">
        <f t="shared" ref="Y51:Y55" si="47">IF(P51&lt;=G51,P51,IF(G51&lt;=P51,G51))</f>
        <v>22</v>
      </c>
      <c r="Z51" s="209">
        <f t="shared" si="46"/>
        <v>265</v>
      </c>
      <c r="AA51" s="218">
        <f t="shared" si="46"/>
        <v>6</v>
      </c>
      <c r="AB51" s="215">
        <f t="shared" si="46"/>
        <v>21</v>
      </c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</row>
    <row r="52" spans="2:73" s="74" customFormat="1" ht="12.95" customHeight="1" x14ac:dyDescent="0.2">
      <c r="B52" s="200" t="s">
        <v>169</v>
      </c>
      <c r="C52" s="929">
        <v>20</v>
      </c>
      <c r="D52" s="927"/>
      <c r="E52" s="928"/>
      <c r="F52" s="929">
        <v>4</v>
      </c>
      <c r="G52" s="933">
        <v>2</v>
      </c>
      <c r="H52" s="929">
        <v>188</v>
      </c>
      <c r="I52" s="934">
        <v>5</v>
      </c>
      <c r="J52" s="993">
        <v>15</v>
      </c>
      <c r="K52" s="14"/>
      <c r="L52" s="202">
        <v>20</v>
      </c>
      <c r="M52" s="333"/>
      <c r="N52" s="348"/>
      <c r="O52" s="202">
        <v>4</v>
      </c>
      <c r="P52" s="357">
        <v>2</v>
      </c>
      <c r="Q52" s="202">
        <v>188</v>
      </c>
      <c r="R52" s="356">
        <v>5</v>
      </c>
      <c r="S52" s="381">
        <v>15</v>
      </c>
      <c r="T52" s="33"/>
      <c r="U52" s="209">
        <f t="shared" si="43"/>
        <v>20</v>
      </c>
      <c r="V52" s="212">
        <f t="shared" si="43"/>
        <v>0</v>
      </c>
      <c r="W52" s="212">
        <f t="shared" si="43"/>
        <v>0</v>
      </c>
      <c r="X52" s="209">
        <f t="shared" si="44"/>
        <v>4</v>
      </c>
      <c r="Y52" s="212">
        <f t="shared" si="47"/>
        <v>2</v>
      </c>
      <c r="Z52" s="209">
        <f t="shared" si="46"/>
        <v>188</v>
      </c>
      <c r="AA52" s="218">
        <f t="shared" si="46"/>
        <v>5</v>
      </c>
      <c r="AB52" s="215">
        <f t="shared" si="46"/>
        <v>15</v>
      </c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</row>
    <row r="53" spans="2:73" s="74" customFormat="1" ht="12.95" customHeight="1" x14ac:dyDescent="0.2">
      <c r="B53" s="200" t="s">
        <v>42</v>
      </c>
      <c r="C53" s="929">
        <v>38</v>
      </c>
      <c r="D53" s="927"/>
      <c r="E53" s="928"/>
      <c r="F53" s="929">
        <v>13</v>
      </c>
      <c r="G53" s="927"/>
      <c r="H53" s="929">
        <v>366</v>
      </c>
      <c r="I53" s="994">
        <v>1</v>
      </c>
      <c r="J53" s="932">
        <v>41</v>
      </c>
      <c r="K53" s="14"/>
      <c r="L53" s="202">
        <v>38</v>
      </c>
      <c r="M53" s="333"/>
      <c r="N53" s="348"/>
      <c r="O53" s="202">
        <v>13</v>
      </c>
      <c r="P53" s="333"/>
      <c r="Q53" s="202">
        <v>366</v>
      </c>
      <c r="R53" s="366">
        <v>1</v>
      </c>
      <c r="S53" s="204">
        <v>41</v>
      </c>
      <c r="T53" s="33"/>
      <c r="U53" s="209">
        <f t="shared" si="43"/>
        <v>38</v>
      </c>
      <c r="V53" s="212">
        <f t="shared" si="43"/>
        <v>0</v>
      </c>
      <c r="W53" s="212">
        <f t="shared" si="43"/>
        <v>0</v>
      </c>
      <c r="X53" s="209">
        <f t="shared" si="44"/>
        <v>13</v>
      </c>
      <c r="Y53" s="212">
        <f t="shared" si="47"/>
        <v>0</v>
      </c>
      <c r="Z53" s="209">
        <f t="shared" si="46"/>
        <v>366</v>
      </c>
      <c r="AA53" s="218">
        <f t="shared" si="46"/>
        <v>1</v>
      </c>
      <c r="AB53" s="215">
        <f t="shared" si="46"/>
        <v>41</v>
      </c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</row>
    <row r="54" spans="2:73" s="74" customFormat="1" ht="12.95" customHeight="1" x14ac:dyDescent="0.2">
      <c r="B54" s="436" t="str">
        <f>'BV Fig'!B55</f>
        <v>MAHIYANGANAYA</v>
      </c>
      <c r="C54" s="929">
        <v>26</v>
      </c>
      <c r="D54" s="927"/>
      <c r="E54" s="928"/>
      <c r="F54" s="929">
        <v>39</v>
      </c>
      <c r="G54" s="933">
        <v>7</v>
      </c>
      <c r="H54" s="912">
        <v>224</v>
      </c>
      <c r="I54" s="994"/>
      <c r="J54" s="932">
        <v>7</v>
      </c>
      <c r="K54" s="14"/>
      <c r="L54" s="202">
        <v>26</v>
      </c>
      <c r="M54" s="333"/>
      <c r="N54" s="348"/>
      <c r="O54" s="202">
        <v>39</v>
      </c>
      <c r="P54" s="357">
        <v>7</v>
      </c>
      <c r="Q54" s="202">
        <v>224</v>
      </c>
      <c r="R54" s="366"/>
      <c r="S54" s="204">
        <v>7</v>
      </c>
      <c r="T54" s="33"/>
      <c r="U54" s="209">
        <f t="shared" si="43"/>
        <v>26</v>
      </c>
      <c r="V54" s="212">
        <f t="shared" si="43"/>
        <v>0</v>
      </c>
      <c r="W54" s="212">
        <f t="shared" si="43"/>
        <v>0</v>
      </c>
      <c r="X54" s="209">
        <f t="shared" ref="X54" si="48">IF(O54&lt;=F54,O54,IF(F54&lt;=O54,F54))</f>
        <v>39</v>
      </c>
      <c r="Y54" s="212">
        <f t="shared" ref="Y54" si="49">IF(P54&lt;=G54,P54,IF(G54&lt;=P54,G54))</f>
        <v>7</v>
      </c>
      <c r="Z54" s="209">
        <f t="shared" ref="Z54" si="50">IF(Q54&lt;=H54,Q54,IF(H54&lt;=Q54,H54))</f>
        <v>224</v>
      </c>
      <c r="AA54" s="218">
        <f t="shared" ref="AA54" si="51">IF(R54&lt;=I54,R54,IF(I54&lt;=R54,I54))</f>
        <v>0</v>
      </c>
      <c r="AB54" s="215">
        <f t="shared" ref="AB54" si="52">IF(S54&lt;=J54,S54,IF(J54&lt;=S54,J54))</f>
        <v>7</v>
      </c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</row>
    <row r="55" spans="2:73" s="74" customFormat="1" ht="12.95" customHeight="1" thickBot="1" x14ac:dyDescent="0.25">
      <c r="B55" s="370" t="s">
        <v>164</v>
      </c>
      <c r="C55" s="964">
        <v>32</v>
      </c>
      <c r="D55" s="962"/>
      <c r="E55" s="963"/>
      <c r="F55" s="975">
        <v>2</v>
      </c>
      <c r="G55" s="962"/>
      <c r="H55" s="964">
        <v>401</v>
      </c>
      <c r="I55" s="976"/>
      <c r="J55" s="995"/>
      <c r="K55" s="14"/>
      <c r="L55" s="371">
        <v>32</v>
      </c>
      <c r="M55" s="372"/>
      <c r="N55" s="402"/>
      <c r="O55" s="400">
        <v>2</v>
      </c>
      <c r="P55" s="372"/>
      <c r="Q55" s="371">
        <v>401</v>
      </c>
      <c r="R55" s="405"/>
      <c r="S55" s="401"/>
      <c r="T55" s="14"/>
      <c r="U55" s="375">
        <f t="shared" si="43"/>
        <v>32</v>
      </c>
      <c r="V55" s="433">
        <f t="shared" si="43"/>
        <v>0</v>
      </c>
      <c r="W55" s="433">
        <f t="shared" si="43"/>
        <v>0</v>
      </c>
      <c r="X55" s="377">
        <f t="shared" si="44"/>
        <v>2</v>
      </c>
      <c r="Y55" s="433">
        <f t="shared" si="47"/>
        <v>0</v>
      </c>
      <c r="Z55" s="377">
        <f>IF(Q55&lt;=H55,Q55,IF(H55&lt;=Q55,H55))</f>
        <v>401</v>
      </c>
      <c r="AA55" s="378">
        <f>IF(R55&lt;=I55,R55,IF(I55&lt;=R55,I55))</f>
        <v>0</v>
      </c>
      <c r="AB55" s="379">
        <f>IF(S55&lt;=J55,S55,IF(J55&lt;=S55,J55))</f>
        <v>0</v>
      </c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</row>
    <row r="56" spans="2:73" s="27" customFormat="1" x14ac:dyDescent="0.2">
      <c r="B56" s="6"/>
      <c r="C56" s="984"/>
      <c r="D56" s="984"/>
      <c r="E56" s="984"/>
      <c r="F56" s="984"/>
      <c r="G56" s="984"/>
      <c r="H56" s="984"/>
      <c r="I56" s="984"/>
      <c r="J56" s="946"/>
      <c r="K56" s="26"/>
      <c r="L56" s="29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18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</row>
    <row r="57" spans="2:73" s="27" customFormat="1" ht="13.5" thickBot="1" x14ac:dyDescent="0.25">
      <c r="B57" s="6"/>
      <c r="C57" s="984"/>
      <c r="D57" s="984"/>
      <c r="E57" s="984"/>
      <c r="F57" s="984"/>
      <c r="G57" s="984"/>
      <c r="H57" s="984"/>
      <c r="I57" s="984"/>
      <c r="J57" s="946"/>
      <c r="K57" s="26"/>
      <c r="L57" s="29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18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</row>
    <row r="58" spans="2:73" s="74" customFormat="1" ht="12.95" customHeight="1" x14ac:dyDescent="0.2">
      <c r="B58" s="17" t="s">
        <v>167</v>
      </c>
      <c r="C58" s="985">
        <v>40</v>
      </c>
      <c r="D58" s="986"/>
      <c r="E58" s="987"/>
      <c r="F58" s="996"/>
      <c r="G58" s="986"/>
      <c r="H58" s="997">
        <v>25</v>
      </c>
      <c r="I58" s="988"/>
      <c r="J58" s="989"/>
      <c r="K58" s="14"/>
      <c r="L58" s="392">
        <v>40</v>
      </c>
      <c r="M58" s="346"/>
      <c r="N58" s="396"/>
      <c r="O58" s="347"/>
      <c r="P58" s="346"/>
      <c r="Q58" s="528">
        <v>25</v>
      </c>
      <c r="R58" s="345"/>
      <c r="S58" s="393"/>
      <c r="T58" s="33"/>
      <c r="U58" s="224">
        <f t="shared" ref="U58:W65" si="53">IF(L58&lt;=C58,L58,IF(C58&lt;=L58,C58))</f>
        <v>40</v>
      </c>
      <c r="V58" s="211">
        <f t="shared" si="53"/>
        <v>0</v>
      </c>
      <c r="W58" s="211">
        <f t="shared" si="53"/>
        <v>0</v>
      </c>
      <c r="X58" s="222">
        <f t="shared" ref="X58:X65" si="54">IF(O58&lt;=F58,O58,IF(F58&lt;=O58,F58))</f>
        <v>0</v>
      </c>
      <c r="Y58" s="211">
        <f t="shared" ref="Y58" si="55">IF(P58&lt;=G58,P58,IF(G58&lt;=P58,G58))</f>
        <v>0</v>
      </c>
      <c r="Z58" s="222">
        <f t="shared" ref="Z58:AB65" si="56">IF(Q58&lt;=H58,Q58,IF(H58&lt;=Q58,H58))</f>
        <v>25</v>
      </c>
      <c r="AA58" s="217">
        <f t="shared" si="56"/>
        <v>0</v>
      </c>
      <c r="AB58" s="214">
        <f t="shared" si="56"/>
        <v>0</v>
      </c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</row>
    <row r="59" spans="2:73" s="74" customFormat="1" ht="12.95" customHeight="1" x14ac:dyDescent="0.2">
      <c r="B59" s="200" t="s">
        <v>46</v>
      </c>
      <c r="C59" s="912">
        <v>18</v>
      </c>
      <c r="D59" s="927"/>
      <c r="E59" s="928"/>
      <c r="F59" s="982">
        <v>14</v>
      </c>
      <c r="G59" s="927"/>
      <c r="H59" s="929">
        <v>7</v>
      </c>
      <c r="I59" s="969"/>
      <c r="J59" s="932"/>
      <c r="K59" s="14"/>
      <c r="L59" s="202">
        <v>18</v>
      </c>
      <c r="M59" s="333"/>
      <c r="N59" s="348"/>
      <c r="O59" s="397">
        <v>14</v>
      </c>
      <c r="P59" s="333"/>
      <c r="Q59" s="202">
        <v>7</v>
      </c>
      <c r="R59" s="335"/>
      <c r="S59" s="204"/>
      <c r="T59" s="33"/>
      <c r="U59" s="209">
        <f t="shared" si="53"/>
        <v>18</v>
      </c>
      <c r="V59" s="212">
        <f t="shared" si="53"/>
        <v>0</v>
      </c>
      <c r="W59" s="212">
        <f t="shared" si="53"/>
        <v>0</v>
      </c>
      <c r="X59" s="209">
        <f t="shared" si="54"/>
        <v>14</v>
      </c>
      <c r="Y59" s="212">
        <f t="shared" ref="Y59:Y65" si="57">IF(P59&lt;=G59,P59,IF(G59&lt;=P59,G59))</f>
        <v>0</v>
      </c>
      <c r="Z59" s="209">
        <f t="shared" si="56"/>
        <v>7</v>
      </c>
      <c r="AA59" s="218">
        <f t="shared" si="56"/>
        <v>0</v>
      </c>
      <c r="AB59" s="215">
        <f t="shared" si="56"/>
        <v>0</v>
      </c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</row>
    <row r="60" spans="2:73" s="74" customFormat="1" ht="12.95" customHeight="1" x14ac:dyDescent="0.2">
      <c r="B60" s="200" t="s">
        <v>215</v>
      </c>
      <c r="C60" s="929">
        <v>27</v>
      </c>
      <c r="D60" s="927"/>
      <c r="E60" s="928"/>
      <c r="F60" s="998"/>
      <c r="G60" s="357">
        <v>2</v>
      </c>
      <c r="H60" s="929">
        <v>33</v>
      </c>
      <c r="I60" s="994"/>
      <c r="J60" s="992"/>
      <c r="K60" s="14"/>
      <c r="L60" s="202">
        <v>27</v>
      </c>
      <c r="M60" s="333"/>
      <c r="N60" s="348"/>
      <c r="O60" s="336"/>
      <c r="P60" s="357">
        <v>2</v>
      </c>
      <c r="Q60" s="202">
        <v>33</v>
      </c>
      <c r="R60" s="356"/>
      <c r="S60" s="363"/>
      <c r="T60" s="33"/>
      <c r="U60" s="209">
        <f t="shared" si="53"/>
        <v>27</v>
      </c>
      <c r="V60" s="212">
        <f t="shared" si="53"/>
        <v>0</v>
      </c>
      <c r="W60" s="212">
        <f t="shared" si="53"/>
        <v>0</v>
      </c>
      <c r="X60" s="209">
        <f t="shared" si="54"/>
        <v>0</v>
      </c>
      <c r="Y60" s="212">
        <f t="shared" si="57"/>
        <v>2</v>
      </c>
      <c r="Z60" s="209">
        <f t="shared" si="56"/>
        <v>33</v>
      </c>
      <c r="AA60" s="218">
        <f t="shared" si="56"/>
        <v>0</v>
      </c>
      <c r="AB60" s="215">
        <f t="shared" si="56"/>
        <v>0</v>
      </c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</row>
    <row r="61" spans="2:73" s="74" customFormat="1" ht="12.95" customHeight="1" x14ac:dyDescent="0.2">
      <c r="B61" s="200" t="s">
        <v>48</v>
      </c>
      <c r="C61" s="929">
        <v>11</v>
      </c>
      <c r="D61" s="927"/>
      <c r="E61" s="928"/>
      <c r="F61" s="998"/>
      <c r="G61" s="930">
        <v>4</v>
      </c>
      <c r="H61" s="929">
        <v>133</v>
      </c>
      <c r="I61" s="931">
        <v>76</v>
      </c>
      <c r="J61" s="992">
        <v>5</v>
      </c>
      <c r="K61" s="14"/>
      <c r="L61" s="202">
        <v>11</v>
      </c>
      <c r="M61" s="333"/>
      <c r="N61" s="348"/>
      <c r="O61" s="336"/>
      <c r="P61" s="201">
        <v>4</v>
      </c>
      <c r="Q61" s="202">
        <v>133</v>
      </c>
      <c r="R61" s="203">
        <v>76</v>
      </c>
      <c r="S61" s="363">
        <v>5</v>
      </c>
      <c r="T61" s="33"/>
      <c r="U61" s="209">
        <f t="shared" si="53"/>
        <v>11</v>
      </c>
      <c r="V61" s="212">
        <f t="shared" si="53"/>
        <v>0</v>
      </c>
      <c r="W61" s="212">
        <f t="shared" si="53"/>
        <v>0</v>
      </c>
      <c r="X61" s="209">
        <f t="shared" si="54"/>
        <v>0</v>
      </c>
      <c r="Y61" s="212">
        <f t="shared" si="57"/>
        <v>4</v>
      </c>
      <c r="Z61" s="209">
        <f t="shared" si="56"/>
        <v>133</v>
      </c>
      <c r="AA61" s="218">
        <f t="shared" si="56"/>
        <v>76</v>
      </c>
      <c r="AB61" s="215">
        <f t="shared" si="56"/>
        <v>5</v>
      </c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</row>
    <row r="62" spans="2:73" s="74" customFormat="1" ht="12.95" customHeight="1" x14ac:dyDescent="0.2">
      <c r="B62" s="200" t="s">
        <v>49</v>
      </c>
      <c r="C62" s="990">
        <v>45</v>
      </c>
      <c r="D62" s="927"/>
      <c r="E62" s="928"/>
      <c r="F62" s="998"/>
      <c r="G62" s="927"/>
      <c r="H62" s="929">
        <v>44</v>
      </c>
      <c r="I62" s="931">
        <v>37</v>
      </c>
      <c r="J62" s="981"/>
      <c r="K62" s="14"/>
      <c r="L62" s="365">
        <v>44</v>
      </c>
      <c r="M62" s="333"/>
      <c r="N62" s="348"/>
      <c r="O62" s="336"/>
      <c r="P62" s="333"/>
      <c r="Q62" s="202">
        <v>44</v>
      </c>
      <c r="R62" s="203">
        <v>36</v>
      </c>
      <c r="S62" s="337"/>
      <c r="T62" s="33"/>
      <c r="U62" s="209">
        <f t="shared" si="53"/>
        <v>44</v>
      </c>
      <c r="V62" s="212">
        <f t="shared" si="53"/>
        <v>0</v>
      </c>
      <c r="W62" s="212">
        <f t="shared" si="53"/>
        <v>0</v>
      </c>
      <c r="X62" s="209">
        <f t="shared" si="54"/>
        <v>0</v>
      </c>
      <c r="Y62" s="212">
        <f t="shared" si="57"/>
        <v>0</v>
      </c>
      <c r="Z62" s="209">
        <f t="shared" si="56"/>
        <v>44</v>
      </c>
      <c r="AA62" s="218">
        <f t="shared" si="56"/>
        <v>36</v>
      </c>
      <c r="AB62" s="215">
        <f t="shared" si="56"/>
        <v>0</v>
      </c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</row>
    <row r="63" spans="2:73" s="74" customFormat="1" ht="12.95" customHeight="1" x14ac:dyDescent="0.2">
      <c r="B63" s="200" t="s">
        <v>51</v>
      </c>
      <c r="C63" s="929">
        <v>24</v>
      </c>
      <c r="D63" s="927"/>
      <c r="E63" s="928"/>
      <c r="F63" s="929"/>
      <c r="G63" s="927"/>
      <c r="H63" s="929">
        <v>32</v>
      </c>
      <c r="I63" s="934"/>
      <c r="J63" s="981"/>
      <c r="K63" s="14"/>
      <c r="L63" s="202">
        <v>24</v>
      </c>
      <c r="M63" s="333"/>
      <c r="N63" s="348"/>
      <c r="O63" s="202"/>
      <c r="P63" s="348"/>
      <c r="Q63" s="207">
        <v>32</v>
      </c>
      <c r="R63" s="356"/>
      <c r="S63" s="337"/>
      <c r="T63" s="33"/>
      <c r="U63" s="209">
        <f t="shared" si="53"/>
        <v>24</v>
      </c>
      <c r="V63" s="212">
        <f t="shared" si="53"/>
        <v>0</v>
      </c>
      <c r="W63" s="212">
        <f t="shared" si="53"/>
        <v>0</v>
      </c>
      <c r="X63" s="209">
        <f t="shared" si="54"/>
        <v>0</v>
      </c>
      <c r="Y63" s="212">
        <f t="shared" si="57"/>
        <v>0</v>
      </c>
      <c r="Z63" s="209">
        <f t="shared" si="56"/>
        <v>32</v>
      </c>
      <c r="AA63" s="218">
        <f t="shared" si="56"/>
        <v>0</v>
      </c>
      <c r="AB63" s="215">
        <f t="shared" si="56"/>
        <v>0</v>
      </c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</row>
    <row r="64" spans="2:73" s="74" customFormat="1" ht="12.95" customHeight="1" x14ac:dyDescent="0.2">
      <c r="B64" s="200" t="s">
        <v>52</v>
      </c>
      <c r="C64" s="929">
        <v>14</v>
      </c>
      <c r="D64" s="927"/>
      <c r="E64" s="928"/>
      <c r="F64" s="982">
        <v>16</v>
      </c>
      <c r="G64" s="930">
        <v>16</v>
      </c>
      <c r="H64" s="929">
        <v>84</v>
      </c>
      <c r="I64" s="931">
        <v>6</v>
      </c>
      <c r="J64" s="932">
        <v>5</v>
      </c>
      <c r="K64" s="14"/>
      <c r="L64" s="202">
        <v>14</v>
      </c>
      <c r="M64" s="333"/>
      <c r="N64" s="348"/>
      <c r="O64" s="397">
        <v>16</v>
      </c>
      <c r="P64" s="201">
        <v>16</v>
      </c>
      <c r="Q64" s="202">
        <v>84</v>
      </c>
      <c r="R64" s="203">
        <v>6</v>
      </c>
      <c r="S64" s="204">
        <v>5</v>
      </c>
      <c r="T64" s="14"/>
      <c r="U64" s="209">
        <f t="shared" si="53"/>
        <v>14</v>
      </c>
      <c r="V64" s="212">
        <f t="shared" si="53"/>
        <v>0</v>
      </c>
      <c r="W64" s="212">
        <f t="shared" si="53"/>
        <v>0</v>
      </c>
      <c r="X64" s="209">
        <f t="shared" si="54"/>
        <v>16</v>
      </c>
      <c r="Y64" s="212">
        <f t="shared" si="57"/>
        <v>16</v>
      </c>
      <c r="Z64" s="209">
        <f t="shared" si="56"/>
        <v>84</v>
      </c>
      <c r="AA64" s="218">
        <f t="shared" si="56"/>
        <v>6</v>
      </c>
      <c r="AB64" s="215">
        <f t="shared" si="56"/>
        <v>5</v>
      </c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</row>
    <row r="65" spans="2:73" s="74" customFormat="1" ht="12.95" customHeight="1" thickBot="1" x14ac:dyDescent="0.25">
      <c r="B65" s="34" t="s">
        <v>168</v>
      </c>
      <c r="C65" s="938">
        <v>65</v>
      </c>
      <c r="D65" s="936"/>
      <c r="E65" s="937"/>
      <c r="F65" s="999"/>
      <c r="G65" s="936"/>
      <c r="H65" s="938">
        <v>135</v>
      </c>
      <c r="I65" s="983"/>
      <c r="J65" s="936"/>
      <c r="K65" s="14"/>
      <c r="L65" s="23">
        <v>65</v>
      </c>
      <c r="M65" s="334"/>
      <c r="N65" s="659"/>
      <c r="O65" s="341"/>
      <c r="P65" s="612"/>
      <c r="Q65" s="23">
        <v>135</v>
      </c>
      <c r="R65" s="338"/>
      <c r="S65" s="334"/>
      <c r="T65" s="14"/>
      <c r="U65" s="223">
        <f t="shared" si="53"/>
        <v>65</v>
      </c>
      <c r="V65" s="213">
        <f t="shared" si="53"/>
        <v>0</v>
      </c>
      <c r="W65" s="213">
        <f t="shared" si="53"/>
        <v>0</v>
      </c>
      <c r="X65" s="223">
        <f t="shared" si="54"/>
        <v>0</v>
      </c>
      <c r="Y65" s="213">
        <f t="shared" si="57"/>
        <v>0</v>
      </c>
      <c r="Z65" s="223">
        <f t="shared" si="56"/>
        <v>135</v>
      </c>
      <c r="AA65" s="219">
        <f t="shared" si="56"/>
        <v>0</v>
      </c>
      <c r="AB65" s="216">
        <f t="shared" si="56"/>
        <v>0</v>
      </c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</row>
    <row r="66" spans="2:73" s="79" customFormat="1" ht="13.5" thickBot="1" x14ac:dyDescent="0.25">
      <c r="B66" s="6"/>
      <c r="C66" s="944"/>
      <c r="D66" s="944"/>
      <c r="E66" s="944"/>
      <c r="F66" s="944"/>
      <c r="G66" s="944"/>
      <c r="H66" s="944"/>
      <c r="I66" s="944"/>
      <c r="J66" s="946"/>
      <c r="L66" s="29"/>
      <c r="M66" s="26"/>
      <c r="N66" s="26"/>
      <c r="O66" s="26"/>
      <c r="P66" s="26"/>
      <c r="Q66" s="26"/>
      <c r="R66" s="26"/>
      <c r="S66" s="26"/>
      <c r="U66" s="26"/>
      <c r="V66" s="26"/>
      <c r="W66" s="26"/>
      <c r="X66" s="26"/>
      <c r="Y66" s="26"/>
      <c r="Z66" s="26"/>
      <c r="AA66" s="26"/>
      <c r="AB66" s="26"/>
    </row>
    <row r="67" spans="2:73" s="79" customFormat="1" ht="4.5" hidden="1" customHeight="1" thickBot="1" x14ac:dyDescent="0.25">
      <c r="B67" s="6"/>
      <c r="C67" s="984"/>
      <c r="D67" s="984"/>
      <c r="E67" s="984"/>
      <c r="F67" s="984"/>
      <c r="G67" s="984"/>
      <c r="H67" s="984"/>
      <c r="I67" s="984"/>
      <c r="J67" s="946"/>
      <c r="L67" s="29"/>
      <c r="M67" s="26"/>
      <c r="N67" s="26"/>
      <c r="O67" s="26"/>
      <c r="P67" s="26"/>
      <c r="Q67" s="26"/>
      <c r="R67" s="26"/>
      <c r="S67" s="18"/>
      <c r="U67" s="29"/>
      <c r="V67" s="26"/>
      <c r="W67" s="26"/>
      <c r="X67" s="26"/>
      <c r="Y67" s="26"/>
      <c r="Z67" s="26"/>
      <c r="AA67" s="26"/>
      <c r="AB67" s="18"/>
    </row>
    <row r="68" spans="2:73" s="74" customFormat="1" ht="12.95" customHeight="1" x14ac:dyDescent="0.2">
      <c r="B68" s="17" t="s">
        <v>162</v>
      </c>
      <c r="C68" s="985">
        <v>20</v>
      </c>
      <c r="D68" s="986"/>
      <c r="E68" s="987"/>
      <c r="F68" s="985">
        <v>18</v>
      </c>
      <c r="G68" s="1000">
        <v>1</v>
      </c>
      <c r="H68" s="985">
        <v>36</v>
      </c>
      <c r="I68" s="1001">
        <v>1</v>
      </c>
      <c r="J68" s="1002">
        <v>1</v>
      </c>
      <c r="L68" s="205">
        <v>20</v>
      </c>
      <c r="M68" s="346"/>
      <c r="N68" s="396"/>
      <c r="O68" s="205">
        <v>18</v>
      </c>
      <c r="P68" s="383">
        <v>1</v>
      </c>
      <c r="Q68" s="205">
        <v>36</v>
      </c>
      <c r="R68" s="206">
        <v>1</v>
      </c>
      <c r="S68" s="395">
        <v>1</v>
      </c>
      <c r="U68" s="487">
        <f t="shared" ref="U68:X71" si="58">IF(L68&lt;=C68,L68,IF(C68&lt;=L68,C68))</f>
        <v>20</v>
      </c>
      <c r="V68" s="211">
        <f t="shared" si="58"/>
        <v>0</v>
      </c>
      <c r="W68" s="224">
        <f t="shared" si="58"/>
        <v>0</v>
      </c>
      <c r="X68" s="487">
        <f t="shared" si="58"/>
        <v>18</v>
      </c>
      <c r="Y68" s="384">
        <f t="shared" ref="Y68:Y69" si="59">IF(P68&lt;=G68,P68,IF(G68&lt;=P68,G68))</f>
        <v>1</v>
      </c>
      <c r="Z68" s="543">
        <f t="shared" ref="Z68:AB69" si="60">IF(Q68&lt;=H68,Q68,IF(H68&lt;=Q68,H68))</f>
        <v>36</v>
      </c>
      <c r="AA68" s="217">
        <f t="shared" si="60"/>
        <v>1</v>
      </c>
      <c r="AB68" s="384">
        <f t="shared" si="60"/>
        <v>1</v>
      </c>
    </row>
    <row r="69" spans="2:73" s="74" customFormat="1" ht="12.95" customHeight="1" x14ac:dyDescent="0.2">
      <c r="B69" s="200" t="s">
        <v>55</v>
      </c>
      <c r="C69" s="929">
        <v>14</v>
      </c>
      <c r="D69" s="927"/>
      <c r="E69" s="928"/>
      <c r="F69" s="929">
        <v>26</v>
      </c>
      <c r="G69" s="930">
        <v>6</v>
      </c>
      <c r="H69" s="929">
        <v>55</v>
      </c>
      <c r="I69" s="931">
        <v>1</v>
      </c>
      <c r="J69" s="932">
        <v>1</v>
      </c>
      <c r="L69" s="202">
        <v>14</v>
      </c>
      <c r="M69" s="333"/>
      <c r="N69" s="348"/>
      <c r="O69" s="202">
        <v>26</v>
      </c>
      <c r="P69" s="201">
        <v>6</v>
      </c>
      <c r="Q69" s="202">
        <v>55</v>
      </c>
      <c r="R69" s="203">
        <v>1</v>
      </c>
      <c r="S69" s="204">
        <v>1</v>
      </c>
      <c r="U69" s="542">
        <f t="shared" si="58"/>
        <v>14</v>
      </c>
      <c r="V69" s="212">
        <f t="shared" si="58"/>
        <v>0</v>
      </c>
      <c r="W69" s="665">
        <f t="shared" si="58"/>
        <v>0</v>
      </c>
      <c r="X69" s="542">
        <f t="shared" si="58"/>
        <v>26</v>
      </c>
      <c r="Y69" s="212">
        <f t="shared" si="59"/>
        <v>6</v>
      </c>
      <c r="Z69" s="225">
        <f t="shared" si="60"/>
        <v>55</v>
      </c>
      <c r="AA69" s="218">
        <f t="shared" si="60"/>
        <v>1</v>
      </c>
      <c r="AB69" s="212">
        <f t="shared" si="60"/>
        <v>1</v>
      </c>
    </row>
    <row r="70" spans="2:73" s="74" customFormat="1" ht="12.95" customHeight="1" x14ac:dyDescent="0.2">
      <c r="B70" s="436" t="s">
        <v>292</v>
      </c>
      <c r="C70" s="1003">
        <v>15</v>
      </c>
      <c r="D70" s="1004"/>
      <c r="E70" s="1005"/>
      <c r="F70" s="1003"/>
      <c r="G70" s="1006"/>
      <c r="H70" s="1003">
        <v>65</v>
      </c>
      <c r="I70" s="1007">
        <v>2</v>
      </c>
      <c r="J70" s="1008"/>
      <c r="L70" s="537">
        <v>15</v>
      </c>
      <c r="M70" s="398"/>
      <c r="N70" s="399"/>
      <c r="O70" s="537"/>
      <c r="P70" s="538"/>
      <c r="Q70" s="537">
        <v>63</v>
      </c>
      <c r="R70" s="539">
        <v>2</v>
      </c>
      <c r="S70" s="540"/>
      <c r="U70" s="542">
        <f t="shared" si="58"/>
        <v>15</v>
      </c>
      <c r="V70" s="212">
        <f t="shared" si="58"/>
        <v>0</v>
      </c>
      <c r="W70" s="665">
        <f t="shared" si="58"/>
        <v>0</v>
      </c>
      <c r="X70" s="542">
        <f t="shared" si="58"/>
        <v>0</v>
      </c>
      <c r="Y70" s="212">
        <f t="shared" ref="Y70" si="61">IF(P70&lt;=G70,P70,IF(G70&lt;=P70,G70))</f>
        <v>0</v>
      </c>
      <c r="Z70" s="225">
        <f t="shared" ref="Z70" si="62">IF(Q70&lt;=H70,Q70,IF(H70&lt;=Q70,H70))</f>
        <v>63</v>
      </c>
      <c r="AA70" s="218">
        <f t="shared" ref="AA70" si="63">IF(R70&lt;=I70,R70,IF(I70&lt;=R70,I70))</f>
        <v>2</v>
      </c>
      <c r="AB70" s="212">
        <f t="shared" ref="AB70" si="64">IF(S70&lt;=J70,S70,IF(J70&lt;=S70,J70))</f>
        <v>0</v>
      </c>
    </row>
    <row r="71" spans="2:73" s="74" customFormat="1" ht="12" customHeight="1" thickBot="1" x14ac:dyDescent="0.25">
      <c r="B71" s="370" t="s">
        <v>211</v>
      </c>
      <c r="C71" s="964">
        <v>13</v>
      </c>
      <c r="D71" s="962"/>
      <c r="E71" s="963"/>
      <c r="F71" s="964">
        <v>2</v>
      </c>
      <c r="G71" s="962"/>
      <c r="H71" s="964">
        <v>6</v>
      </c>
      <c r="I71" s="1009"/>
      <c r="J71" s="1010"/>
      <c r="L71" s="371">
        <v>13</v>
      </c>
      <c r="M71" s="372"/>
      <c r="N71" s="402"/>
      <c r="O71" s="371">
        <v>2</v>
      </c>
      <c r="P71" s="372"/>
      <c r="Q71" s="371">
        <v>6</v>
      </c>
      <c r="R71" s="373"/>
      <c r="S71" s="374"/>
      <c r="U71" s="375">
        <f t="shared" si="58"/>
        <v>13</v>
      </c>
      <c r="V71" s="433">
        <f t="shared" si="58"/>
        <v>0</v>
      </c>
      <c r="W71" s="376">
        <f t="shared" si="58"/>
        <v>0</v>
      </c>
      <c r="X71" s="375">
        <f t="shared" si="58"/>
        <v>2</v>
      </c>
      <c r="Y71" s="376">
        <f t="shared" ref="Y71" si="65">IF(P71&lt;=G71,P71,IF(G71&lt;=P71,G71))</f>
        <v>0</v>
      </c>
      <c r="Z71" s="377">
        <f>IF(Q71&lt;=H71,Q71,IF(H71&lt;=Q71,H71))</f>
        <v>6</v>
      </c>
      <c r="AA71" s="378">
        <f>IF(R71&lt;=I71,R71,IF(I71&lt;=R71,I71))</f>
        <v>0</v>
      </c>
      <c r="AB71" s="379">
        <f>IF(S71&lt;=J71,S71,IF(J71&lt;=S71,J71))</f>
        <v>0</v>
      </c>
    </row>
    <row r="72" spans="2:73" s="27" customFormat="1" ht="13.5" thickBot="1" x14ac:dyDescent="0.25">
      <c r="B72" s="1"/>
      <c r="C72" s="1011"/>
      <c r="D72" s="1011"/>
      <c r="E72" s="1011"/>
      <c r="F72" s="1011"/>
      <c r="G72" s="1011"/>
      <c r="H72" s="1011"/>
      <c r="I72" s="1011"/>
      <c r="J72" s="1012"/>
      <c r="L72" s="434"/>
    </row>
    <row r="73" spans="2:73" s="11" customFormat="1" ht="13.5" thickBot="1" x14ac:dyDescent="0.25">
      <c r="B73" s="8" t="s">
        <v>54</v>
      </c>
      <c r="C73" s="226">
        <f t="shared" ref="C73:I73" si="66">SUM(C9:C71)</f>
        <v>2426</v>
      </c>
      <c r="D73" s="227">
        <f t="shared" si="66"/>
        <v>0</v>
      </c>
      <c r="E73" s="227">
        <f t="shared" si="66"/>
        <v>212</v>
      </c>
      <c r="F73" s="226">
        <f t="shared" si="66"/>
        <v>3172</v>
      </c>
      <c r="G73" s="227">
        <f t="shared" si="66"/>
        <v>259</v>
      </c>
      <c r="H73" s="228">
        <f t="shared" si="66"/>
        <v>9471</v>
      </c>
      <c r="I73" s="228">
        <f t="shared" si="66"/>
        <v>295</v>
      </c>
      <c r="J73" s="230">
        <f>SUM(J9:J71)</f>
        <v>759</v>
      </c>
      <c r="K73" s="231"/>
      <c r="L73" s="226">
        <f t="shared" ref="L73:S73" si="67">SUM(L9:L71)</f>
        <v>2407</v>
      </c>
      <c r="M73" s="227">
        <f t="shared" si="67"/>
        <v>0</v>
      </c>
      <c r="N73" s="227">
        <f t="shared" si="67"/>
        <v>212</v>
      </c>
      <c r="O73" s="226">
        <f t="shared" si="67"/>
        <v>3164</v>
      </c>
      <c r="P73" s="227">
        <f t="shared" si="67"/>
        <v>259</v>
      </c>
      <c r="Q73" s="228">
        <f>SUM(Q9:Q71)</f>
        <v>9440</v>
      </c>
      <c r="R73" s="229">
        <f t="shared" si="67"/>
        <v>292</v>
      </c>
      <c r="S73" s="230">
        <f t="shared" si="67"/>
        <v>758</v>
      </c>
      <c r="T73" s="231"/>
      <c r="U73" s="544">
        <f t="shared" ref="U73:AB73" si="68">SUM(U9:U71)</f>
        <v>2407</v>
      </c>
      <c r="V73" s="545">
        <f t="shared" si="68"/>
        <v>0</v>
      </c>
      <c r="W73" s="545">
        <f t="shared" si="68"/>
        <v>212</v>
      </c>
      <c r="X73" s="546">
        <f t="shared" si="68"/>
        <v>3164</v>
      </c>
      <c r="Y73" s="547">
        <f t="shared" si="68"/>
        <v>259</v>
      </c>
      <c r="Z73" s="546">
        <f t="shared" si="68"/>
        <v>9440</v>
      </c>
      <c r="AA73" s="548">
        <f t="shared" si="68"/>
        <v>292</v>
      </c>
      <c r="AB73" s="547">
        <f t="shared" si="68"/>
        <v>758</v>
      </c>
    </row>
    <row r="74" spans="2:73" x14ac:dyDescent="0.2">
      <c r="B74" s="36"/>
    </row>
    <row r="75" spans="2:73" x14ac:dyDescent="0.2">
      <c r="B75" s="37"/>
    </row>
    <row r="76" spans="2:73" x14ac:dyDescent="0.2">
      <c r="B76" s="14"/>
    </row>
    <row r="77" spans="2:73" x14ac:dyDescent="0.2">
      <c r="B77" s="38"/>
    </row>
    <row r="78" spans="2:73" x14ac:dyDescent="0.2">
      <c r="B78" s="38"/>
      <c r="C78" s="27"/>
      <c r="D78" s="27"/>
      <c r="E78" s="27"/>
      <c r="F78" s="27"/>
      <c r="G78" s="27"/>
      <c r="H78" s="27"/>
      <c r="I78" s="27"/>
      <c r="J78" s="27"/>
    </row>
    <row r="79" spans="2:73" x14ac:dyDescent="0.2">
      <c r="B79" s="38"/>
    </row>
    <row r="80" spans="2:73" x14ac:dyDescent="0.2">
      <c r="B80" s="38"/>
    </row>
    <row r="81" spans="2:2" x14ac:dyDescent="0.2">
      <c r="B81" s="38"/>
    </row>
    <row r="82" spans="2:2" x14ac:dyDescent="0.2">
      <c r="B82" s="14"/>
    </row>
    <row r="83" spans="2:2" x14ac:dyDescent="0.2">
      <c r="B83" s="14"/>
    </row>
    <row r="84" spans="2:2" x14ac:dyDescent="0.2">
      <c r="B84" s="6"/>
    </row>
    <row r="85" spans="2:2" x14ac:dyDescent="0.2">
      <c r="B85" s="6"/>
    </row>
    <row r="86" spans="2:2" x14ac:dyDescent="0.2">
      <c r="B86" s="39"/>
    </row>
    <row r="87" spans="2:2" x14ac:dyDescent="0.2">
      <c r="B87" s="39"/>
    </row>
    <row r="88" spans="2:2" x14ac:dyDescent="0.2">
      <c r="B88" s="14"/>
    </row>
    <row r="89" spans="2:2" x14ac:dyDescent="0.2">
      <c r="B89" s="14"/>
    </row>
    <row r="90" spans="2:2" x14ac:dyDescent="0.2">
      <c r="B90" s="14"/>
    </row>
    <row r="91" spans="2:2" x14ac:dyDescent="0.2">
      <c r="B91" s="14"/>
    </row>
    <row r="92" spans="2:2" x14ac:dyDescent="0.2">
      <c r="B92" s="14"/>
    </row>
    <row r="93" spans="2:2" x14ac:dyDescent="0.2">
      <c r="B93" s="14"/>
    </row>
    <row r="94" spans="2:2" x14ac:dyDescent="0.2">
      <c r="B94" s="14"/>
    </row>
    <row r="95" spans="2:2" x14ac:dyDescent="0.2">
      <c r="B95" s="14"/>
    </row>
    <row r="96" spans="2:2" x14ac:dyDescent="0.2">
      <c r="B96" s="14"/>
    </row>
    <row r="97" spans="2:2" x14ac:dyDescent="0.2">
      <c r="B97" s="14"/>
    </row>
  </sheetData>
  <sheetProtection formatCells="0" formatColumns="0" formatRows="0" deleteColumns="0" deleteRows="0" sort="0"/>
  <mergeCells count="15">
    <mergeCell ref="M2:R2"/>
    <mergeCell ref="B4:B6"/>
    <mergeCell ref="C5:D5"/>
    <mergeCell ref="F5:G5"/>
    <mergeCell ref="H5:J5"/>
    <mergeCell ref="C4:J4"/>
    <mergeCell ref="L4:S4"/>
    <mergeCell ref="L5:M5"/>
    <mergeCell ref="O5:P5"/>
    <mergeCell ref="Q5:S5"/>
    <mergeCell ref="U4:AB4"/>
    <mergeCell ref="U5:V5"/>
    <mergeCell ref="X5:Y5"/>
    <mergeCell ref="Z5:AB5"/>
    <mergeCell ref="M3:R3"/>
  </mergeCells>
  <pageMargins left="1.27" right="0.15748031496063" top="0.2" bottom="0.118110236220472" header="1.03" footer="0.118110236220472"/>
  <pageSetup paperSize="5" scale="66" orientation="landscape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N101"/>
  <sheetViews>
    <sheetView zoomScale="85" zoomScaleNormal="85" workbookViewId="0">
      <pane xSplit="2" ySplit="9" topLeftCell="Z83" activePane="bottomRight" state="frozen"/>
      <selection pane="topRight" activeCell="C1" sqref="C1"/>
      <selection pane="bottomLeft" activeCell="A10" sqref="A10"/>
      <selection pane="bottomRight" sqref="A1:AD86"/>
    </sheetView>
  </sheetViews>
  <sheetFormatPr defaultRowHeight="14.25" x14ac:dyDescent="0.2"/>
  <cols>
    <col min="1" max="1" width="18.7109375" style="80" customWidth="1"/>
    <col min="2" max="2" width="24.85546875" style="80" customWidth="1"/>
    <col min="3" max="3" width="45.42578125" style="80" customWidth="1"/>
    <col min="4" max="4" width="11.7109375" style="80" bestFit="1" customWidth="1"/>
    <col min="5" max="5" width="9.140625" style="80" customWidth="1"/>
    <col min="6" max="6" width="11.7109375" style="80" bestFit="1" customWidth="1"/>
    <col min="7" max="7" width="13.42578125" style="80" bestFit="1" customWidth="1"/>
    <col min="8" max="8" width="14" style="81" bestFit="1" customWidth="1"/>
    <col min="9" max="9" width="11.7109375" style="82" bestFit="1" customWidth="1"/>
    <col min="10" max="10" width="8.7109375" style="83" bestFit="1" customWidth="1"/>
    <col min="11" max="11" width="11.7109375" style="83" bestFit="1" customWidth="1"/>
    <col min="12" max="12" width="13.85546875" style="83" customWidth="1"/>
    <col min="13" max="13" width="13.28515625" style="83" customWidth="1"/>
    <col min="14" max="14" width="11.7109375" style="82" bestFit="1" customWidth="1"/>
    <col min="15" max="15" width="9.28515625" style="82" bestFit="1" customWidth="1"/>
    <col min="16" max="16" width="11.7109375" style="83" bestFit="1" customWidth="1"/>
    <col min="17" max="17" width="11.7109375" style="82" bestFit="1" customWidth="1"/>
    <col min="18" max="18" width="10.28515625" style="82" bestFit="1" customWidth="1"/>
    <col min="19" max="19" width="9.28515625" style="82" bestFit="1" customWidth="1"/>
    <col min="20" max="20" width="14.7109375" style="83" customWidth="1"/>
    <col min="21" max="21" width="13.140625" style="146" customWidth="1"/>
    <col min="22" max="22" width="19.5703125" style="83" bestFit="1" customWidth="1"/>
    <col min="23" max="23" width="8.7109375" style="83" bestFit="1" customWidth="1"/>
    <col min="24" max="24" width="18" style="83" bestFit="1" customWidth="1"/>
    <col min="25" max="25" width="19.140625" style="82" customWidth="1"/>
    <col min="26" max="26" width="19" style="82" customWidth="1"/>
    <col min="27" max="27" width="19.5703125" style="82" bestFit="1" customWidth="1"/>
    <col min="28" max="28" width="17.28515625" style="82" customWidth="1"/>
    <col min="29" max="29" width="18" style="82" bestFit="1" customWidth="1"/>
    <col min="30" max="30" width="22.42578125" style="80" customWidth="1"/>
    <col min="31" max="16384" width="9.140625" style="80"/>
  </cols>
  <sheetData>
    <row r="2" spans="1:66" x14ac:dyDescent="0.2">
      <c r="A2" s="1063" t="s">
        <v>309</v>
      </c>
      <c r="B2" s="1063"/>
      <c r="C2" s="1063"/>
      <c r="D2" s="1063"/>
      <c r="E2" s="1063"/>
      <c r="F2" s="1063"/>
      <c r="G2" s="1063"/>
      <c r="H2" s="1063"/>
      <c r="I2" s="1063"/>
      <c r="J2" s="1063"/>
      <c r="K2" s="1063"/>
      <c r="L2" s="1063"/>
      <c r="M2" s="1063"/>
      <c r="N2" s="1063"/>
      <c r="O2" s="1063"/>
      <c r="P2" s="1063"/>
      <c r="Q2" s="1063"/>
      <c r="R2" s="1063"/>
      <c r="S2" s="1063"/>
      <c r="T2" s="1063"/>
      <c r="U2" s="1063"/>
      <c r="V2" s="1063"/>
      <c r="W2" s="1063"/>
      <c r="X2" s="1063"/>
      <c r="Y2" s="1063"/>
      <c r="Z2" s="1063"/>
      <c r="AA2" s="1063"/>
      <c r="AB2" s="1063"/>
      <c r="AC2" s="1063"/>
      <c r="AD2" s="1063"/>
    </row>
    <row r="3" spans="1:66" x14ac:dyDescent="0.2">
      <c r="A3" s="355"/>
      <c r="B3" s="355"/>
      <c r="C3" s="355"/>
      <c r="D3" s="355"/>
      <c r="E3" s="658"/>
      <c r="F3" s="355"/>
      <c r="G3" s="355"/>
      <c r="H3" s="355"/>
      <c r="I3" s="355"/>
      <c r="J3" s="355"/>
      <c r="K3" s="355"/>
      <c r="L3" s="658"/>
      <c r="M3" s="658"/>
      <c r="N3" s="355"/>
      <c r="O3" s="355"/>
      <c r="P3" s="355"/>
      <c r="Q3" s="355"/>
      <c r="R3" s="355"/>
      <c r="S3" s="355"/>
      <c r="T3" s="355"/>
      <c r="U3" s="355"/>
      <c r="V3" s="355"/>
      <c r="W3" s="355"/>
      <c r="X3" s="658"/>
      <c r="Y3" s="355"/>
      <c r="Z3" s="355"/>
      <c r="AA3" s="355"/>
      <c r="AB3" s="355"/>
      <c r="AC3" s="355"/>
      <c r="AD3" s="355"/>
    </row>
    <row r="4" spans="1:66" ht="15" thickBot="1" x14ac:dyDescent="0.25">
      <c r="B4" s="1"/>
    </row>
    <row r="5" spans="1:66" ht="15.75" customHeight="1" thickBot="1" x14ac:dyDescent="0.25">
      <c r="A5" s="1064" t="s">
        <v>66</v>
      </c>
      <c r="B5" s="1054" t="s">
        <v>56</v>
      </c>
      <c r="C5" s="1064" t="s">
        <v>67</v>
      </c>
      <c r="D5" s="1067" t="s">
        <v>68</v>
      </c>
      <c r="E5" s="1068"/>
      <c r="F5" s="1068"/>
      <c r="G5" s="1069"/>
      <c r="H5" s="1070" t="s">
        <v>69</v>
      </c>
      <c r="I5" s="1073" t="s">
        <v>73</v>
      </c>
      <c r="J5" s="1074"/>
      <c r="K5" s="1074"/>
      <c r="L5" s="1074"/>
      <c r="M5" s="1074"/>
      <c r="N5" s="1074"/>
      <c r="O5" s="1074"/>
      <c r="P5" s="1074"/>
      <c r="Q5" s="1074"/>
      <c r="R5" s="1074"/>
      <c r="S5" s="1074"/>
      <c r="T5" s="1075"/>
      <c r="U5" s="1076" t="s">
        <v>74</v>
      </c>
      <c r="V5" s="1079" t="s">
        <v>75</v>
      </c>
      <c r="W5" s="1080"/>
      <c r="X5" s="1080"/>
      <c r="Y5" s="1080"/>
      <c r="Z5" s="1080"/>
      <c r="AA5" s="1080"/>
      <c r="AB5" s="1080"/>
      <c r="AC5" s="1080"/>
      <c r="AD5" s="1083" t="s">
        <v>76</v>
      </c>
    </row>
    <row r="6" spans="1:66" ht="17.25" customHeight="1" thickBot="1" x14ac:dyDescent="0.25">
      <c r="A6" s="1065"/>
      <c r="B6" s="1055"/>
      <c r="C6" s="1065"/>
      <c r="D6" s="84"/>
      <c r="E6" s="85"/>
      <c r="F6" s="85"/>
      <c r="G6" s="86"/>
      <c r="H6" s="1071"/>
      <c r="I6" s="1073" t="s">
        <v>70</v>
      </c>
      <c r="J6" s="1074"/>
      <c r="K6" s="1075"/>
      <c r="L6" s="1073" t="s">
        <v>313</v>
      </c>
      <c r="M6" s="1075"/>
      <c r="N6" s="1073" t="s">
        <v>59</v>
      </c>
      <c r="O6" s="1074"/>
      <c r="P6" s="1075"/>
      <c r="Q6" s="1073" t="s">
        <v>58</v>
      </c>
      <c r="R6" s="1074"/>
      <c r="S6" s="1074"/>
      <c r="T6" s="1075"/>
      <c r="U6" s="1077"/>
      <c r="V6" s="1081"/>
      <c r="W6" s="1082"/>
      <c r="X6" s="1082"/>
      <c r="Y6" s="1082"/>
      <c r="Z6" s="1082"/>
      <c r="AA6" s="1082"/>
      <c r="AB6" s="1082"/>
      <c r="AC6" s="1082"/>
      <c r="AD6" s="1084"/>
    </row>
    <row r="7" spans="1:66" ht="15" customHeight="1" thickBot="1" x14ac:dyDescent="0.25">
      <c r="A7" s="1065"/>
      <c r="B7" s="1055"/>
      <c r="C7" s="1065"/>
      <c r="D7" s="1054" t="s">
        <v>57</v>
      </c>
      <c r="E7" s="1054" t="s">
        <v>313</v>
      </c>
      <c r="F7" s="1054" t="s">
        <v>59</v>
      </c>
      <c r="G7" s="1054" t="s">
        <v>58</v>
      </c>
      <c r="H7" s="1071"/>
      <c r="I7" s="1091" t="s">
        <v>71</v>
      </c>
      <c r="J7" s="1092"/>
      <c r="K7" s="1089" t="s">
        <v>72</v>
      </c>
      <c r="L7" s="666" t="s">
        <v>71</v>
      </c>
      <c r="M7" s="1089" t="s">
        <v>72</v>
      </c>
      <c r="N7" s="1086" t="s">
        <v>71</v>
      </c>
      <c r="O7" s="1088"/>
      <c r="P7" s="1089" t="s">
        <v>72</v>
      </c>
      <c r="Q7" s="1086" t="s">
        <v>71</v>
      </c>
      <c r="R7" s="1087"/>
      <c r="S7" s="1088"/>
      <c r="T7" s="1089" t="s">
        <v>72</v>
      </c>
      <c r="U7" s="1077"/>
      <c r="V7" s="1086" t="s">
        <v>70</v>
      </c>
      <c r="W7" s="1088"/>
      <c r="X7" s="657" t="s">
        <v>313</v>
      </c>
      <c r="Y7" s="1086" t="s">
        <v>59</v>
      </c>
      <c r="Z7" s="1088"/>
      <c r="AA7" s="1086" t="s">
        <v>58</v>
      </c>
      <c r="AB7" s="1087"/>
      <c r="AC7" s="1088"/>
      <c r="AD7" s="1084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</row>
    <row r="8" spans="1:66" ht="14.25" customHeight="1" thickBot="1" x14ac:dyDescent="0.25">
      <c r="A8" s="1066"/>
      <c r="B8" s="1056"/>
      <c r="C8" s="1066"/>
      <c r="D8" s="1056"/>
      <c r="E8" s="1056"/>
      <c r="F8" s="1056"/>
      <c r="G8" s="1056"/>
      <c r="H8" s="1072"/>
      <c r="I8" s="88" t="s">
        <v>61</v>
      </c>
      <c r="J8" s="89" t="s">
        <v>62</v>
      </c>
      <c r="K8" s="1090"/>
      <c r="L8" s="88" t="s">
        <v>61</v>
      </c>
      <c r="M8" s="1090"/>
      <c r="N8" s="88" t="s">
        <v>61</v>
      </c>
      <c r="O8" s="90" t="s">
        <v>62</v>
      </c>
      <c r="P8" s="1090"/>
      <c r="Q8" s="88" t="s">
        <v>61</v>
      </c>
      <c r="R8" s="91" t="s">
        <v>63</v>
      </c>
      <c r="S8" s="90" t="s">
        <v>62</v>
      </c>
      <c r="T8" s="1090"/>
      <c r="U8" s="1078"/>
      <c r="V8" s="92" t="s">
        <v>61</v>
      </c>
      <c r="W8" s="89" t="s">
        <v>62</v>
      </c>
      <c r="X8" s="92" t="s">
        <v>61</v>
      </c>
      <c r="Y8" s="88" t="s">
        <v>61</v>
      </c>
      <c r="Z8" s="90" t="s">
        <v>62</v>
      </c>
      <c r="AA8" s="88" t="s">
        <v>61</v>
      </c>
      <c r="AB8" s="91" t="s">
        <v>63</v>
      </c>
      <c r="AC8" s="90" t="s">
        <v>62</v>
      </c>
      <c r="AD8" s="1085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</row>
    <row r="9" spans="1:66" ht="15" thickBot="1" x14ac:dyDescent="0.25">
      <c r="B9" s="6"/>
      <c r="C9" s="94"/>
      <c r="D9" s="95"/>
      <c r="E9" s="95"/>
      <c r="F9" s="93"/>
      <c r="G9" s="93"/>
      <c r="H9" s="96"/>
      <c r="I9" s="97"/>
      <c r="J9" s="98"/>
      <c r="K9" s="98"/>
      <c r="L9" s="98"/>
      <c r="M9" s="98"/>
      <c r="N9" s="97"/>
      <c r="O9" s="97"/>
      <c r="P9" s="98"/>
      <c r="Q9" s="97"/>
      <c r="R9" s="97"/>
      <c r="S9" s="97"/>
      <c r="T9" s="98"/>
      <c r="U9" s="232"/>
      <c r="V9" s="98"/>
      <c r="W9" s="98"/>
      <c r="X9" s="98"/>
      <c r="Y9" s="97"/>
      <c r="Z9" s="97"/>
      <c r="AA9" s="97"/>
      <c r="AB9" s="97"/>
      <c r="AC9" s="97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</row>
    <row r="10" spans="1:66" s="50" customFormat="1" ht="18" customHeight="1" x14ac:dyDescent="0.2">
      <c r="A10" s="1064" t="s">
        <v>9</v>
      </c>
      <c r="B10" s="685" t="s">
        <v>1</v>
      </c>
      <c r="C10" s="686" t="s">
        <v>2</v>
      </c>
      <c r="D10" s="903">
        <f>66+51</f>
        <v>117</v>
      </c>
      <c r="E10" s="904">
        <v>10</v>
      </c>
      <c r="F10" s="904">
        <f>167+184</f>
        <v>351</v>
      </c>
      <c r="G10" s="905">
        <f>417+195</f>
        <v>612</v>
      </c>
      <c r="H10" s="687">
        <f>SUM(D10:G10)</f>
        <v>1090</v>
      </c>
      <c r="I10" s="688">
        <f>SUM('Bv Act'!U9)</f>
        <v>117</v>
      </c>
      <c r="J10" s="689">
        <f>SUM('Bv Act'!V9)</f>
        <v>0</v>
      </c>
      <c r="K10" s="690">
        <f>SUM(I10+J10)/12</f>
        <v>9.75</v>
      </c>
      <c r="L10" s="691">
        <f>'Bv Act'!E9</f>
        <v>0</v>
      </c>
      <c r="M10" s="690">
        <f>L10/12</f>
        <v>0</v>
      </c>
      <c r="N10" s="692">
        <f>SUM('Bv Act'!X9)</f>
        <v>248</v>
      </c>
      <c r="O10" s="693">
        <f>SUM('Bv Act'!Y9)</f>
        <v>14</v>
      </c>
      <c r="P10" s="690">
        <f>SUM(N10+O10)/24</f>
        <v>10.916666666666666</v>
      </c>
      <c r="Q10" s="692">
        <f>SUM('Bv Act'!Z9)</f>
        <v>203</v>
      </c>
      <c r="R10" s="694">
        <f>SUM('Bv Act'!AA9)</f>
        <v>13</v>
      </c>
      <c r="S10" s="693">
        <f>SUM('Bv Act'!AB9)</f>
        <v>6</v>
      </c>
      <c r="T10" s="695">
        <f>SUM(Q10+R10+S10)/24</f>
        <v>9.25</v>
      </c>
      <c r="U10" s="687">
        <f>SUM(I10+J10+N10+O10+Q10+R10+S10+L10)</f>
        <v>601</v>
      </c>
      <c r="V10" s="696">
        <f>SUM(I10)*157</f>
        <v>18369</v>
      </c>
      <c r="W10" s="697">
        <f>SUM(J10)*102</f>
        <v>0</v>
      </c>
      <c r="X10" s="690">
        <f>L10*146</f>
        <v>0</v>
      </c>
      <c r="Y10" s="696">
        <f>SUM(N10)*67</f>
        <v>16616</v>
      </c>
      <c r="Z10" s="697">
        <f>SUM(O10)*48</f>
        <v>672</v>
      </c>
      <c r="AA10" s="698">
        <f>SUM(Q10)*46</f>
        <v>9338</v>
      </c>
      <c r="AB10" s="699">
        <f>SUM(R10)*49</f>
        <v>637</v>
      </c>
      <c r="AC10" s="700">
        <f>SUM(S10)*36.5</f>
        <v>219</v>
      </c>
      <c r="AD10" s="701">
        <f>SUM(V10+W10+Y10+Z10+AA10+AB10+AC10+X10)</f>
        <v>45851</v>
      </c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</row>
    <row r="11" spans="1:66" s="50" customFormat="1" ht="15" x14ac:dyDescent="0.2">
      <c r="A11" s="1065"/>
      <c r="B11" s="702" t="s">
        <v>3</v>
      </c>
      <c r="C11" s="703" t="s">
        <v>236</v>
      </c>
      <c r="D11" s="906">
        <v>76</v>
      </c>
      <c r="E11" s="907">
        <v>0</v>
      </c>
      <c r="F11" s="907">
        <v>447</v>
      </c>
      <c r="G11" s="908">
        <v>523</v>
      </c>
      <c r="H11" s="704">
        <f>SUM(D11:G11)</f>
        <v>1046</v>
      </c>
      <c r="I11" s="705">
        <f>SUM('Bv Act'!U10)</f>
        <v>72</v>
      </c>
      <c r="J11" s="706">
        <f>SUM('Bv Act'!V10)</f>
        <v>0</v>
      </c>
      <c r="K11" s="707">
        <f t="shared" ref="K11:K17" si="0">SUM(I11+J11)/12</f>
        <v>6</v>
      </c>
      <c r="L11" s="708">
        <f>'Bv Act'!E10</f>
        <v>0</v>
      </c>
      <c r="M11" s="707">
        <f>L11/12</f>
        <v>0</v>
      </c>
      <c r="N11" s="709">
        <f>SUM('Bv Act'!X10)</f>
        <v>228</v>
      </c>
      <c r="O11" s="710">
        <f>SUM('Bv Act'!Y10)</f>
        <v>0</v>
      </c>
      <c r="P11" s="711">
        <f t="shared" ref="P11:P17" si="1">SUM(N11+O11)/24</f>
        <v>9.5</v>
      </c>
      <c r="Q11" s="709">
        <f>SUM('Bv Act'!Z10)</f>
        <v>212</v>
      </c>
      <c r="R11" s="712">
        <f>SUM('Bv Act'!AA10)</f>
        <v>0</v>
      </c>
      <c r="S11" s="710">
        <f>SUM('Bv Act'!AB10)</f>
        <v>0</v>
      </c>
      <c r="T11" s="711">
        <f t="shared" ref="T11:T17" si="2">SUM(Q11+R11+S11)/24</f>
        <v>8.8333333333333339</v>
      </c>
      <c r="U11" s="704">
        <f t="shared" ref="U11:U17" si="3">SUM(I11+J11+N11+O11+Q11+R11+S11+L11)</f>
        <v>512</v>
      </c>
      <c r="V11" s="713">
        <f>SUM(I11)*157</f>
        <v>11304</v>
      </c>
      <c r="W11" s="714">
        <f t="shared" ref="W11:W17" si="4">SUM(J11)*102</f>
        <v>0</v>
      </c>
      <c r="X11" s="711">
        <f t="shared" ref="X11:X17" si="5">L11*146</f>
        <v>0</v>
      </c>
      <c r="Y11" s="713">
        <f t="shared" ref="Y11:Y17" si="6">SUM(N11)*67</f>
        <v>15276</v>
      </c>
      <c r="Z11" s="714">
        <f t="shared" ref="Z11:Z17" si="7">SUM(O11)*48</f>
        <v>0</v>
      </c>
      <c r="AA11" s="715">
        <f>SUM(Q11)*46</f>
        <v>9752</v>
      </c>
      <c r="AB11" s="716">
        <f t="shared" ref="AB11:AB17" si="8">SUM(R11)*49</f>
        <v>0</v>
      </c>
      <c r="AC11" s="717">
        <f t="shared" ref="AC11:AC17" si="9">SUM(S11)*36.5</f>
        <v>0</v>
      </c>
      <c r="AD11" s="718">
        <f t="shared" ref="AD11:AD17" si="10">SUM(V11+W11+Y11+Z11+AA11+AB11+AC11+X11)</f>
        <v>36332</v>
      </c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</row>
    <row r="12" spans="1:66" s="50" customFormat="1" ht="15" x14ac:dyDescent="0.2">
      <c r="A12" s="1065"/>
      <c r="B12" s="702" t="s">
        <v>4</v>
      </c>
      <c r="C12" s="703" t="s">
        <v>235</v>
      </c>
      <c r="D12" s="894">
        <v>54</v>
      </c>
      <c r="E12" s="895">
        <v>6</v>
      </c>
      <c r="F12" s="895">
        <v>526</v>
      </c>
      <c r="G12" s="896">
        <v>193</v>
      </c>
      <c r="H12" s="704">
        <f>SUM(D12:G12)</f>
        <v>779</v>
      </c>
      <c r="I12" s="705">
        <f>SUM('Bv Act'!U11)</f>
        <v>46</v>
      </c>
      <c r="J12" s="706">
        <f>SUM('Bv Act'!V11)</f>
        <v>0</v>
      </c>
      <c r="K12" s="711">
        <f t="shared" si="0"/>
        <v>3.8333333333333335</v>
      </c>
      <c r="L12" s="708">
        <f>'Bv Act'!E11</f>
        <v>0</v>
      </c>
      <c r="M12" s="707">
        <f t="shared" ref="M12:M17" si="11">L12/12</f>
        <v>0</v>
      </c>
      <c r="N12" s="709">
        <f>SUM('Bv Act'!X11)</f>
        <v>311</v>
      </c>
      <c r="O12" s="710">
        <f>SUM('Bv Act'!Y11)</f>
        <v>34</v>
      </c>
      <c r="P12" s="711">
        <f t="shared" si="1"/>
        <v>14.375</v>
      </c>
      <c r="Q12" s="709">
        <f>SUM('Bv Act'!Z11)</f>
        <v>30</v>
      </c>
      <c r="R12" s="712">
        <f>SUM('Bv Act'!AA11)</f>
        <v>0</v>
      </c>
      <c r="S12" s="710">
        <f>SUM('Bv Act'!AB11)</f>
        <v>4</v>
      </c>
      <c r="T12" s="711">
        <f t="shared" si="2"/>
        <v>1.4166666666666667</v>
      </c>
      <c r="U12" s="704">
        <f t="shared" si="3"/>
        <v>425</v>
      </c>
      <c r="V12" s="713">
        <f t="shared" ref="V12:V17" si="12">SUM(I12)*157</f>
        <v>7222</v>
      </c>
      <c r="W12" s="714">
        <f t="shared" si="4"/>
        <v>0</v>
      </c>
      <c r="X12" s="711">
        <f t="shared" si="5"/>
        <v>0</v>
      </c>
      <c r="Y12" s="713">
        <f t="shared" si="6"/>
        <v>20837</v>
      </c>
      <c r="Z12" s="714">
        <f t="shared" si="7"/>
        <v>1632</v>
      </c>
      <c r="AA12" s="715">
        <f t="shared" ref="AA12:AA17" si="13">SUM(Q12)*46</f>
        <v>1380</v>
      </c>
      <c r="AB12" s="716">
        <f t="shared" si="8"/>
        <v>0</v>
      </c>
      <c r="AC12" s="717">
        <f t="shared" si="9"/>
        <v>146</v>
      </c>
      <c r="AD12" s="718">
        <f t="shared" si="10"/>
        <v>31217</v>
      </c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</row>
    <row r="13" spans="1:66" s="50" customFormat="1" ht="15" x14ac:dyDescent="0.2">
      <c r="A13" s="1065"/>
      <c r="B13" s="702" t="s">
        <v>232</v>
      </c>
      <c r="C13" s="703" t="s">
        <v>233</v>
      </c>
      <c r="D13" s="894">
        <v>61.416666666666671</v>
      </c>
      <c r="E13" s="895">
        <v>0.75</v>
      </c>
      <c r="F13" s="895">
        <v>211</v>
      </c>
      <c r="G13" s="896">
        <v>237</v>
      </c>
      <c r="H13" s="704">
        <f t="shared" ref="H13:H14" si="14">SUM(D13:G13)</f>
        <v>510.16666666666669</v>
      </c>
      <c r="I13" s="705">
        <f>SUM('Bv Act'!U12)</f>
        <v>57</v>
      </c>
      <c r="J13" s="706">
        <f>SUM('Bv Act'!V12)</f>
        <v>0</v>
      </c>
      <c r="K13" s="707">
        <f t="shared" ref="K13" si="15">SUM(I13+J13)/12</f>
        <v>4.75</v>
      </c>
      <c r="L13" s="708">
        <f>'Bv Act'!E12</f>
        <v>0</v>
      </c>
      <c r="M13" s="707">
        <f t="shared" si="11"/>
        <v>0</v>
      </c>
      <c r="N13" s="709">
        <f>SUM('Bv Act'!X12)</f>
        <v>64</v>
      </c>
      <c r="O13" s="710">
        <f>SUM('Bv Act'!Y12)</f>
        <v>0</v>
      </c>
      <c r="P13" s="711">
        <f t="shared" ref="P13" si="16">SUM(N13+O13)/24</f>
        <v>2.6666666666666665</v>
      </c>
      <c r="Q13" s="709">
        <f>SUM('Bv Act'!Z12)</f>
        <v>48</v>
      </c>
      <c r="R13" s="712">
        <f>SUM('Bv Act'!AA12)</f>
        <v>0</v>
      </c>
      <c r="S13" s="710">
        <f>SUM('Bv Act'!AB12)</f>
        <v>0</v>
      </c>
      <c r="T13" s="711">
        <f t="shared" ref="T13" si="17">SUM(Q13+R13+S13)/24</f>
        <v>2</v>
      </c>
      <c r="U13" s="704">
        <f t="shared" si="3"/>
        <v>169</v>
      </c>
      <c r="V13" s="713">
        <f t="shared" ref="V13" si="18">SUM(I13)*157</f>
        <v>8949</v>
      </c>
      <c r="W13" s="714">
        <f t="shared" ref="W13" si="19">SUM(J13)*102</f>
        <v>0</v>
      </c>
      <c r="X13" s="711">
        <f t="shared" si="5"/>
        <v>0</v>
      </c>
      <c r="Y13" s="713">
        <f t="shared" ref="Y13" si="20">SUM(N13)*67</f>
        <v>4288</v>
      </c>
      <c r="Z13" s="714">
        <f t="shared" ref="Z13" si="21">SUM(O13)*48</f>
        <v>0</v>
      </c>
      <c r="AA13" s="715">
        <f t="shared" ref="AA13" si="22">SUM(Q13)*46</f>
        <v>2208</v>
      </c>
      <c r="AB13" s="716">
        <f t="shared" ref="AB13" si="23">SUM(R13)*49</f>
        <v>0</v>
      </c>
      <c r="AC13" s="717">
        <f t="shared" ref="AC13" si="24">SUM(S13)*36.5</f>
        <v>0</v>
      </c>
      <c r="AD13" s="718">
        <f t="shared" si="10"/>
        <v>15445</v>
      </c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</row>
    <row r="14" spans="1:66" s="50" customFormat="1" ht="15" x14ac:dyDescent="0.2">
      <c r="A14" s="1065"/>
      <c r="B14" s="702" t="s">
        <v>5</v>
      </c>
      <c r="C14" s="703" t="s">
        <v>6</v>
      </c>
      <c r="D14" s="894">
        <f>79+189</f>
        <v>268</v>
      </c>
      <c r="E14" s="895">
        <f>3+16</f>
        <v>19</v>
      </c>
      <c r="F14" s="895">
        <f>376+110</f>
        <v>486</v>
      </c>
      <c r="G14" s="896">
        <v>640</v>
      </c>
      <c r="H14" s="704">
        <f t="shared" si="14"/>
        <v>1413</v>
      </c>
      <c r="I14" s="705">
        <f>SUM('Bv Act'!U13)</f>
        <v>258</v>
      </c>
      <c r="J14" s="706">
        <f>SUM('Bv Act'!V13)</f>
        <v>0</v>
      </c>
      <c r="K14" s="711">
        <f t="shared" si="0"/>
        <v>21.5</v>
      </c>
      <c r="L14" s="708">
        <f>'Bv Act'!E13</f>
        <v>0</v>
      </c>
      <c r="M14" s="707">
        <f>L14/12</f>
        <v>0</v>
      </c>
      <c r="N14" s="709">
        <f>SUM('Bv Act'!X13)</f>
        <v>296</v>
      </c>
      <c r="O14" s="710">
        <f>SUM('Bv Act'!Y13)</f>
        <v>48</v>
      </c>
      <c r="P14" s="711">
        <f t="shared" si="1"/>
        <v>14.333333333333334</v>
      </c>
      <c r="Q14" s="709">
        <f>SUM('Bv Act'!Z13)</f>
        <v>97</v>
      </c>
      <c r="R14" s="712">
        <f>SUM('Bv Act'!AA13)</f>
        <v>18</v>
      </c>
      <c r="S14" s="710">
        <f>SUM('Bv Act'!AB13)</f>
        <v>12</v>
      </c>
      <c r="T14" s="711">
        <f t="shared" si="2"/>
        <v>5.291666666666667</v>
      </c>
      <c r="U14" s="704">
        <f t="shared" si="3"/>
        <v>729</v>
      </c>
      <c r="V14" s="713">
        <f t="shared" si="12"/>
        <v>40506</v>
      </c>
      <c r="W14" s="714">
        <f t="shared" si="4"/>
        <v>0</v>
      </c>
      <c r="X14" s="711">
        <f t="shared" si="5"/>
        <v>0</v>
      </c>
      <c r="Y14" s="713">
        <f t="shared" si="6"/>
        <v>19832</v>
      </c>
      <c r="Z14" s="714">
        <f t="shared" si="7"/>
        <v>2304</v>
      </c>
      <c r="AA14" s="715">
        <f t="shared" si="13"/>
        <v>4462</v>
      </c>
      <c r="AB14" s="716">
        <f t="shared" si="8"/>
        <v>882</v>
      </c>
      <c r="AC14" s="717">
        <f t="shared" si="9"/>
        <v>438</v>
      </c>
      <c r="AD14" s="718">
        <f t="shared" si="10"/>
        <v>68424</v>
      </c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</row>
    <row r="15" spans="1:66" s="50" customFormat="1" ht="15" x14ac:dyDescent="0.2">
      <c r="A15" s="1065"/>
      <c r="B15" s="702" t="s">
        <v>7</v>
      </c>
      <c r="C15" s="703" t="s">
        <v>234</v>
      </c>
      <c r="D15" s="894">
        <v>19</v>
      </c>
      <c r="E15" s="895">
        <v>0</v>
      </c>
      <c r="F15" s="895">
        <v>583</v>
      </c>
      <c r="G15" s="896">
        <v>116</v>
      </c>
      <c r="H15" s="704">
        <f>SUM(G15,F15,E15,D15)</f>
        <v>718</v>
      </c>
      <c r="I15" s="705">
        <f>SUM('Bv Act'!U14)</f>
        <v>16</v>
      </c>
      <c r="J15" s="706">
        <f>SUM('Bv Act'!V14)</f>
        <v>0</v>
      </c>
      <c r="K15" s="711">
        <f t="shared" si="0"/>
        <v>1.3333333333333333</v>
      </c>
      <c r="L15" s="708">
        <f>'Bv Act'!E14</f>
        <v>0</v>
      </c>
      <c r="M15" s="707">
        <f t="shared" si="11"/>
        <v>0</v>
      </c>
      <c r="N15" s="709">
        <f>SUM('Bv Act'!X14)</f>
        <v>390</v>
      </c>
      <c r="O15" s="710">
        <f>SUM('Bv Act'!Y14)</f>
        <v>0</v>
      </c>
      <c r="P15" s="711">
        <f t="shared" si="1"/>
        <v>16.25</v>
      </c>
      <c r="Q15" s="709">
        <f>SUM('Bv Act'!Z14)</f>
        <v>31</v>
      </c>
      <c r="R15" s="712">
        <f>SUM('Bv Act'!AA14)</f>
        <v>3</v>
      </c>
      <c r="S15" s="710">
        <f>SUM('Bv Act'!AB14)</f>
        <v>22</v>
      </c>
      <c r="T15" s="711">
        <f t="shared" si="2"/>
        <v>2.3333333333333335</v>
      </c>
      <c r="U15" s="704">
        <f t="shared" si="3"/>
        <v>462</v>
      </c>
      <c r="V15" s="713">
        <f t="shared" si="12"/>
        <v>2512</v>
      </c>
      <c r="W15" s="714">
        <f t="shared" si="4"/>
        <v>0</v>
      </c>
      <c r="X15" s="711">
        <f t="shared" si="5"/>
        <v>0</v>
      </c>
      <c r="Y15" s="713">
        <f t="shared" si="6"/>
        <v>26130</v>
      </c>
      <c r="Z15" s="714">
        <f t="shared" si="7"/>
        <v>0</v>
      </c>
      <c r="AA15" s="715">
        <f t="shared" si="13"/>
        <v>1426</v>
      </c>
      <c r="AB15" s="716">
        <f t="shared" si="8"/>
        <v>147</v>
      </c>
      <c r="AC15" s="717">
        <f t="shared" si="9"/>
        <v>803</v>
      </c>
      <c r="AD15" s="718">
        <f t="shared" si="10"/>
        <v>31018</v>
      </c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</row>
    <row r="16" spans="1:66" s="50" customFormat="1" ht="15" x14ac:dyDescent="0.2">
      <c r="A16" s="1065"/>
      <c r="B16" s="702" t="s">
        <v>156</v>
      </c>
      <c r="C16" s="703" t="str">
        <f>'Bv flv'!C15</f>
        <v>D.G.JAYASINHA</v>
      </c>
      <c r="D16" s="894">
        <v>28</v>
      </c>
      <c r="E16" s="895">
        <v>0</v>
      </c>
      <c r="F16" s="895">
        <v>706</v>
      </c>
      <c r="G16" s="896">
        <v>112</v>
      </c>
      <c r="H16" s="704">
        <f>SUM(D16:G16)</f>
        <v>846</v>
      </c>
      <c r="I16" s="705">
        <f>SUM('Bv Act'!U15)</f>
        <v>28</v>
      </c>
      <c r="J16" s="706">
        <f>SUM('Bv Act'!V15)</f>
        <v>0</v>
      </c>
      <c r="K16" s="711">
        <f t="shared" si="0"/>
        <v>2.3333333333333335</v>
      </c>
      <c r="L16" s="708">
        <f>'Bv Act'!E15</f>
        <v>0</v>
      </c>
      <c r="M16" s="707">
        <f t="shared" si="11"/>
        <v>0</v>
      </c>
      <c r="N16" s="709">
        <f>SUM('Bv Act'!X15)</f>
        <v>534</v>
      </c>
      <c r="O16" s="710">
        <f>SUM('Bv Act'!Y15)</f>
        <v>8</v>
      </c>
      <c r="P16" s="711">
        <f t="shared" si="1"/>
        <v>22.583333333333332</v>
      </c>
      <c r="Q16" s="709">
        <f>SUM('Bv Act'!Z15)</f>
        <v>12</v>
      </c>
      <c r="R16" s="712">
        <f>SUM('Bv Act'!AA15)</f>
        <v>0</v>
      </c>
      <c r="S16" s="710">
        <f>SUM('Bv Act'!AB15)</f>
        <v>0</v>
      </c>
      <c r="T16" s="711">
        <f t="shared" si="2"/>
        <v>0.5</v>
      </c>
      <c r="U16" s="704">
        <f t="shared" si="3"/>
        <v>582</v>
      </c>
      <c r="V16" s="713">
        <f t="shared" si="12"/>
        <v>4396</v>
      </c>
      <c r="W16" s="714">
        <f t="shared" si="4"/>
        <v>0</v>
      </c>
      <c r="X16" s="711">
        <f t="shared" si="5"/>
        <v>0</v>
      </c>
      <c r="Y16" s="713">
        <f t="shared" si="6"/>
        <v>35778</v>
      </c>
      <c r="Z16" s="714">
        <f t="shared" si="7"/>
        <v>384</v>
      </c>
      <c r="AA16" s="715">
        <f t="shared" si="13"/>
        <v>552</v>
      </c>
      <c r="AB16" s="716">
        <f t="shared" si="8"/>
        <v>0</v>
      </c>
      <c r="AC16" s="717">
        <f t="shared" si="9"/>
        <v>0</v>
      </c>
      <c r="AD16" s="718">
        <f t="shared" si="10"/>
        <v>41110</v>
      </c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</row>
    <row r="17" spans="1:66" s="50" customFormat="1" ht="15.75" thickBot="1" x14ac:dyDescent="0.25">
      <c r="A17" s="1066"/>
      <c r="B17" s="719" t="s">
        <v>8</v>
      </c>
      <c r="C17" s="720" t="s">
        <v>248</v>
      </c>
      <c r="D17" s="900">
        <v>42</v>
      </c>
      <c r="E17" s="901">
        <v>0</v>
      </c>
      <c r="F17" s="901">
        <v>331</v>
      </c>
      <c r="G17" s="902">
        <v>352</v>
      </c>
      <c r="H17" s="721">
        <f>SUM(D17:G17)</f>
        <v>725</v>
      </c>
      <c r="I17" s="705">
        <f>SUM('Bv Act'!U16)</f>
        <v>40</v>
      </c>
      <c r="J17" s="722">
        <f>SUM('Bv Act'!V16)</f>
        <v>0</v>
      </c>
      <c r="K17" s="723">
        <f t="shared" si="0"/>
        <v>3.3333333333333335</v>
      </c>
      <c r="L17" s="724">
        <f>'Bv Act'!E16</f>
        <v>0</v>
      </c>
      <c r="M17" s="707">
        <f t="shared" si="11"/>
        <v>0</v>
      </c>
      <c r="N17" s="725">
        <f>SUM('Bv Act'!X16)</f>
        <v>46</v>
      </c>
      <c r="O17" s="726">
        <f>SUM('Bv Act'!Y16)</f>
        <v>22</v>
      </c>
      <c r="P17" s="723">
        <f t="shared" si="1"/>
        <v>2.8333333333333335</v>
      </c>
      <c r="Q17" s="725">
        <f>SUM('Bv Act'!Z16)</f>
        <v>131</v>
      </c>
      <c r="R17" s="727">
        <f>SUM('Bv Act'!AA16)</f>
        <v>11</v>
      </c>
      <c r="S17" s="726">
        <f>SUM('Bv Act'!AB16)</f>
        <v>42</v>
      </c>
      <c r="T17" s="723">
        <f t="shared" si="2"/>
        <v>7.666666666666667</v>
      </c>
      <c r="U17" s="728">
        <f t="shared" si="3"/>
        <v>292</v>
      </c>
      <c r="V17" s="729">
        <f t="shared" si="12"/>
        <v>6280</v>
      </c>
      <c r="W17" s="730">
        <f t="shared" si="4"/>
        <v>0</v>
      </c>
      <c r="X17" s="731">
        <f t="shared" si="5"/>
        <v>0</v>
      </c>
      <c r="Y17" s="729">
        <f t="shared" si="6"/>
        <v>3082</v>
      </c>
      <c r="Z17" s="730">
        <f t="shared" si="7"/>
        <v>1056</v>
      </c>
      <c r="AA17" s="732">
        <f t="shared" si="13"/>
        <v>6026</v>
      </c>
      <c r="AB17" s="733">
        <f t="shared" si="8"/>
        <v>539</v>
      </c>
      <c r="AC17" s="734">
        <f t="shared" si="9"/>
        <v>1533</v>
      </c>
      <c r="AD17" s="735">
        <f t="shared" si="10"/>
        <v>18516</v>
      </c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</row>
    <row r="18" spans="1:66" s="406" customFormat="1" ht="15.75" thickBot="1" x14ac:dyDescent="0.25">
      <c r="B18" s="736"/>
      <c r="C18" s="737" t="s">
        <v>80</v>
      </c>
      <c r="D18" s="738">
        <f t="shared" ref="D18:Y18" si="25">SUM(D10:D17)</f>
        <v>665.41666666666674</v>
      </c>
      <c r="E18" s="738">
        <f t="shared" si="25"/>
        <v>35.75</v>
      </c>
      <c r="F18" s="738">
        <f t="shared" si="25"/>
        <v>3641</v>
      </c>
      <c r="G18" s="738">
        <f t="shared" si="25"/>
        <v>2785</v>
      </c>
      <c r="H18" s="739">
        <f t="shared" si="25"/>
        <v>7127.1666666666661</v>
      </c>
      <c r="I18" s="739">
        <f t="shared" si="25"/>
        <v>634</v>
      </c>
      <c r="J18" s="740">
        <f t="shared" si="25"/>
        <v>0</v>
      </c>
      <c r="K18" s="741">
        <f t="shared" si="25"/>
        <v>52.833333333333336</v>
      </c>
      <c r="L18" s="741">
        <f t="shared" si="25"/>
        <v>0</v>
      </c>
      <c r="M18" s="741">
        <f t="shared" si="25"/>
        <v>0</v>
      </c>
      <c r="N18" s="742">
        <f t="shared" si="25"/>
        <v>2117</v>
      </c>
      <c r="O18" s="743">
        <f t="shared" si="25"/>
        <v>126</v>
      </c>
      <c r="P18" s="744">
        <f t="shared" si="25"/>
        <v>93.458333333333314</v>
      </c>
      <c r="Q18" s="739">
        <f t="shared" si="25"/>
        <v>764</v>
      </c>
      <c r="R18" s="745">
        <f t="shared" si="25"/>
        <v>45</v>
      </c>
      <c r="S18" s="746">
        <f t="shared" si="25"/>
        <v>86</v>
      </c>
      <c r="T18" s="747">
        <f t="shared" si="25"/>
        <v>37.291666666666671</v>
      </c>
      <c r="U18" s="739">
        <f t="shared" si="25"/>
        <v>3772</v>
      </c>
      <c r="V18" s="744">
        <f t="shared" si="25"/>
        <v>99538</v>
      </c>
      <c r="W18" s="748">
        <f t="shared" si="25"/>
        <v>0</v>
      </c>
      <c r="X18" s="747">
        <f t="shared" si="25"/>
        <v>0</v>
      </c>
      <c r="Y18" s="749">
        <f t="shared" si="25"/>
        <v>141839</v>
      </c>
      <c r="Z18" s="748">
        <f>SUM(Z10:Z17)</f>
        <v>6048</v>
      </c>
      <c r="AA18" s="750">
        <f>SUM(AA10:AA17)</f>
        <v>35144</v>
      </c>
      <c r="AB18" s="751">
        <f>SUM(AB10:AB17)</f>
        <v>2205</v>
      </c>
      <c r="AC18" s="752">
        <f>SUM(AC10:AC17)</f>
        <v>3139</v>
      </c>
      <c r="AD18" s="747">
        <f>SUM(AD10:AD17)</f>
        <v>287913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</row>
    <row r="19" spans="1:66" s="113" customFormat="1" ht="15.75" thickBot="1" x14ac:dyDescent="0.25">
      <c r="B19" s="753"/>
      <c r="C19" s="753"/>
      <c r="D19" s="754"/>
      <c r="E19" s="754"/>
      <c r="F19" s="754"/>
      <c r="G19" s="754"/>
      <c r="H19" s="755"/>
      <c r="I19" s="756"/>
      <c r="J19" s="757"/>
      <c r="K19" s="758"/>
      <c r="L19" s="759"/>
      <c r="M19" s="759"/>
      <c r="N19" s="760"/>
      <c r="O19" s="761"/>
      <c r="P19" s="762"/>
      <c r="Q19" s="763"/>
      <c r="R19" s="763"/>
      <c r="S19" s="763"/>
      <c r="T19" s="764"/>
      <c r="U19" s="765"/>
      <c r="V19" s="764"/>
      <c r="W19" s="764"/>
      <c r="X19" s="764"/>
      <c r="Y19" s="764"/>
      <c r="Z19" s="764"/>
      <c r="AA19" s="764"/>
      <c r="AB19" s="764"/>
      <c r="AC19" s="764"/>
      <c r="AD19" s="766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</row>
    <row r="20" spans="1:66" s="50" customFormat="1" ht="15" x14ac:dyDescent="0.2">
      <c r="A20" s="1070" t="s">
        <v>144</v>
      </c>
      <c r="B20" s="767" t="s">
        <v>10</v>
      </c>
      <c r="C20" s="768" t="s">
        <v>214</v>
      </c>
      <c r="D20" s="897">
        <v>25</v>
      </c>
      <c r="E20" s="898">
        <v>0</v>
      </c>
      <c r="F20" s="898">
        <v>372</v>
      </c>
      <c r="G20" s="899">
        <v>459</v>
      </c>
      <c r="H20" s="769">
        <f t="shared" ref="H20:H25" si="26">SUM(D20:G20)</f>
        <v>856</v>
      </c>
      <c r="I20" s="688">
        <f>SUM('Bv Act'!U19)</f>
        <v>16</v>
      </c>
      <c r="J20" s="770">
        <f>SUM('Bv Act'!V19)</f>
        <v>0</v>
      </c>
      <c r="K20" s="771">
        <f t="shared" ref="K20:K25" si="27">SUM(I20+J20)/12</f>
        <v>1.3333333333333333</v>
      </c>
      <c r="L20" s="772">
        <f>'Bv Act'!E19</f>
        <v>0</v>
      </c>
      <c r="M20" s="695">
        <f t="shared" ref="M20:M25" si="28">L20/12</f>
        <v>0</v>
      </c>
      <c r="N20" s="773">
        <f>SUM('Bv Act'!X19)</f>
        <v>18</v>
      </c>
      <c r="O20" s="774">
        <f>SUM('Bv Act'!Y19)</f>
        <v>0</v>
      </c>
      <c r="P20" s="775">
        <f t="shared" ref="P20:P25" si="29">SUM(N20+O20)/24</f>
        <v>0.75</v>
      </c>
      <c r="Q20" s="776">
        <f>SUM('Bv Act'!Z19)</f>
        <v>58</v>
      </c>
      <c r="R20" s="777">
        <f>SUM('Bv Act'!AA19)</f>
        <v>16</v>
      </c>
      <c r="S20" s="778">
        <f>SUM('Bv Act'!AB19)</f>
        <v>11</v>
      </c>
      <c r="T20" s="757">
        <f t="shared" ref="T20:T25" si="30">SUM(Q20+R20+S20)/24</f>
        <v>3.5416666666666665</v>
      </c>
      <c r="U20" s="687">
        <f t="shared" ref="U20:U25" si="31">SUM(I20+J20+N20+O20+Q20+R20+S20+L20)</f>
        <v>119</v>
      </c>
      <c r="V20" s="779">
        <f t="shared" ref="V20:V25" si="32">SUM(I20)*157</f>
        <v>2512</v>
      </c>
      <c r="W20" s="780">
        <f t="shared" ref="W20:W25" si="33">SUM(J20)*102</f>
        <v>0</v>
      </c>
      <c r="X20" s="690">
        <f t="shared" ref="X20:X25" si="34">L20*146</f>
        <v>0</v>
      </c>
      <c r="Y20" s="779">
        <f t="shared" ref="Y20:Y25" si="35">SUM(N20)*67</f>
        <v>1206</v>
      </c>
      <c r="Z20" s="757">
        <f t="shared" ref="Z20:Z25" si="36">SUM(O20)*48</f>
        <v>0</v>
      </c>
      <c r="AA20" s="781">
        <f t="shared" ref="AA20:AA25" si="37">SUM(Q20)*46</f>
        <v>2668</v>
      </c>
      <c r="AB20" s="782">
        <f t="shared" ref="AB20:AB25" si="38">SUM(R20)*49</f>
        <v>784</v>
      </c>
      <c r="AC20" s="757">
        <f t="shared" ref="AC20:AC25" si="39">SUM(S20)*36.5</f>
        <v>401.5</v>
      </c>
      <c r="AD20" s="701">
        <f t="shared" ref="AD20:AD25" si="40">SUM(V20+W20+Y20+Z20+AA20+AB20+AC20+X20)</f>
        <v>7571.5</v>
      </c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</row>
    <row r="21" spans="1:66" s="50" customFormat="1" ht="15" x14ac:dyDescent="0.2">
      <c r="A21" s="1071"/>
      <c r="B21" s="783" t="s">
        <v>159</v>
      </c>
      <c r="C21" s="784" t="s">
        <v>249</v>
      </c>
      <c r="D21" s="894">
        <v>27</v>
      </c>
      <c r="E21" s="895">
        <v>29</v>
      </c>
      <c r="F21" s="895">
        <v>0</v>
      </c>
      <c r="G21" s="896">
        <v>142</v>
      </c>
      <c r="H21" s="704">
        <f t="shared" si="26"/>
        <v>198</v>
      </c>
      <c r="I21" s="705">
        <f>SUM('Bv Act'!U20)</f>
        <v>26</v>
      </c>
      <c r="J21" s="706">
        <f>SUM('Bv Act'!V20)</f>
        <v>0</v>
      </c>
      <c r="K21" s="711">
        <f t="shared" si="27"/>
        <v>2.1666666666666665</v>
      </c>
      <c r="L21" s="708">
        <f>'Bv Act'!E20</f>
        <v>0</v>
      </c>
      <c r="M21" s="707">
        <f t="shared" si="28"/>
        <v>0</v>
      </c>
      <c r="N21" s="785">
        <f>SUM('Bv Act'!X20)</f>
        <v>0</v>
      </c>
      <c r="O21" s="710">
        <f>SUM('Bv Act'!Y20)</f>
        <v>0</v>
      </c>
      <c r="P21" s="786">
        <f t="shared" si="29"/>
        <v>0</v>
      </c>
      <c r="Q21" s="785">
        <f>SUM('Bv Act'!Z20)</f>
        <v>23</v>
      </c>
      <c r="R21" s="712">
        <f>SUM('Bv Act'!AA20)</f>
        <v>6</v>
      </c>
      <c r="S21" s="706">
        <f>SUM('Bv Act'!AB20)</f>
        <v>5</v>
      </c>
      <c r="T21" s="787">
        <f t="shared" si="30"/>
        <v>1.4166666666666667</v>
      </c>
      <c r="U21" s="704">
        <f t="shared" si="31"/>
        <v>60</v>
      </c>
      <c r="V21" s="715">
        <f t="shared" si="32"/>
        <v>4082</v>
      </c>
      <c r="W21" s="714">
        <f t="shared" si="33"/>
        <v>0</v>
      </c>
      <c r="X21" s="711">
        <f t="shared" si="34"/>
        <v>0</v>
      </c>
      <c r="Y21" s="715">
        <f t="shared" si="35"/>
        <v>0</v>
      </c>
      <c r="Z21" s="787">
        <f t="shared" si="36"/>
        <v>0</v>
      </c>
      <c r="AA21" s="786">
        <f t="shared" si="37"/>
        <v>1058</v>
      </c>
      <c r="AB21" s="716">
        <f t="shared" si="38"/>
        <v>294</v>
      </c>
      <c r="AC21" s="787">
        <f t="shared" si="39"/>
        <v>182.5</v>
      </c>
      <c r="AD21" s="718">
        <f t="shared" si="40"/>
        <v>5616.5</v>
      </c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</row>
    <row r="22" spans="1:66" s="611" customFormat="1" ht="15" x14ac:dyDescent="0.2">
      <c r="A22" s="1071"/>
      <c r="B22" s="788" t="s">
        <v>11</v>
      </c>
      <c r="C22" s="789" t="s">
        <v>12</v>
      </c>
      <c r="D22" s="894">
        <v>4</v>
      </c>
      <c r="E22" s="895">
        <v>0</v>
      </c>
      <c r="F22" s="895">
        <v>2</v>
      </c>
      <c r="G22" s="896">
        <v>105</v>
      </c>
      <c r="H22" s="790">
        <f t="shared" si="26"/>
        <v>111</v>
      </c>
      <c r="I22" s="791">
        <f>SUM('Bv Act'!U21)</f>
        <v>4</v>
      </c>
      <c r="J22" s="792">
        <f>SUM('Bv Act'!V21)</f>
        <v>0</v>
      </c>
      <c r="K22" s="793">
        <f t="shared" si="27"/>
        <v>0.33333333333333331</v>
      </c>
      <c r="L22" s="708">
        <f>'Bv Act'!E21</f>
        <v>0</v>
      </c>
      <c r="M22" s="707">
        <f t="shared" si="28"/>
        <v>0</v>
      </c>
      <c r="N22" s="794">
        <f>SUM('Bv Act'!X21)</f>
        <v>0</v>
      </c>
      <c r="O22" s="795">
        <f>SUM('Bv Act'!Y21)</f>
        <v>0</v>
      </c>
      <c r="P22" s="796">
        <f t="shared" si="29"/>
        <v>0</v>
      </c>
      <c r="Q22" s="794">
        <f>SUM('Bv Act'!Z21)</f>
        <v>42</v>
      </c>
      <c r="R22" s="797">
        <f>SUM('Bv Act'!AA21)</f>
        <v>0</v>
      </c>
      <c r="S22" s="792">
        <f>SUM('Bv Act'!AB21)</f>
        <v>0</v>
      </c>
      <c r="T22" s="798">
        <f t="shared" si="30"/>
        <v>1.75</v>
      </c>
      <c r="U22" s="704">
        <f t="shared" si="31"/>
        <v>46</v>
      </c>
      <c r="V22" s="799">
        <f t="shared" si="32"/>
        <v>628</v>
      </c>
      <c r="W22" s="800">
        <f t="shared" si="33"/>
        <v>0</v>
      </c>
      <c r="X22" s="711">
        <f t="shared" si="34"/>
        <v>0</v>
      </c>
      <c r="Y22" s="799">
        <f t="shared" si="35"/>
        <v>0</v>
      </c>
      <c r="Z22" s="798">
        <f t="shared" si="36"/>
        <v>0</v>
      </c>
      <c r="AA22" s="796">
        <f t="shared" si="37"/>
        <v>1932</v>
      </c>
      <c r="AB22" s="801">
        <f t="shared" si="38"/>
        <v>0</v>
      </c>
      <c r="AC22" s="798">
        <f t="shared" si="39"/>
        <v>0</v>
      </c>
      <c r="AD22" s="718">
        <f t="shared" si="40"/>
        <v>2560</v>
      </c>
      <c r="AE22" s="435"/>
      <c r="AF22" s="435"/>
      <c r="AG22" s="435"/>
      <c r="AH22" s="435"/>
      <c r="AI22" s="435"/>
      <c r="AJ22" s="435"/>
      <c r="AK22" s="435"/>
      <c r="AL22" s="435"/>
      <c r="AM22" s="435"/>
      <c r="AN22" s="435"/>
      <c r="AO22" s="435"/>
      <c r="AP22" s="435"/>
      <c r="AQ22" s="435"/>
      <c r="AR22" s="435"/>
      <c r="AS22" s="435"/>
      <c r="AT22" s="435"/>
      <c r="AU22" s="435"/>
      <c r="AV22" s="435"/>
      <c r="AW22" s="435"/>
      <c r="AX22" s="435"/>
      <c r="AY22" s="435"/>
      <c r="AZ22" s="435"/>
      <c r="BA22" s="435"/>
      <c r="BB22" s="435"/>
      <c r="BC22" s="435"/>
      <c r="BD22" s="435"/>
      <c r="BE22" s="435"/>
      <c r="BF22" s="435"/>
      <c r="BG22" s="435"/>
      <c r="BH22" s="435"/>
      <c r="BI22" s="435"/>
      <c r="BJ22" s="435"/>
      <c r="BK22" s="435"/>
      <c r="BL22" s="435"/>
      <c r="BM22" s="435"/>
      <c r="BN22" s="435"/>
    </row>
    <row r="23" spans="1:66" s="611" customFormat="1" ht="15" x14ac:dyDescent="0.2">
      <c r="A23" s="1071"/>
      <c r="B23" s="783" t="s">
        <v>13</v>
      </c>
      <c r="C23" s="802" t="s">
        <v>250</v>
      </c>
      <c r="D23" s="894">
        <v>66</v>
      </c>
      <c r="E23" s="895">
        <v>5</v>
      </c>
      <c r="F23" s="895">
        <v>24</v>
      </c>
      <c r="G23" s="896">
        <v>306</v>
      </c>
      <c r="H23" s="704">
        <f t="shared" si="26"/>
        <v>401</v>
      </c>
      <c r="I23" s="705">
        <f>SUM('Bv Act'!U22)</f>
        <v>65</v>
      </c>
      <c r="J23" s="706">
        <f>SUM('Bv Act'!V22)</f>
        <v>0</v>
      </c>
      <c r="K23" s="711">
        <f t="shared" si="27"/>
        <v>5.416666666666667</v>
      </c>
      <c r="L23" s="708">
        <f>'Bv Act'!E22</f>
        <v>0</v>
      </c>
      <c r="M23" s="707">
        <f t="shared" si="28"/>
        <v>0</v>
      </c>
      <c r="N23" s="785">
        <f>SUM('Bv Act'!X22)</f>
        <v>19</v>
      </c>
      <c r="O23" s="710">
        <f>SUM('Bv Act'!Y22)</f>
        <v>5</v>
      </c>
      <c r="P23" s="786">
        <f t="shared" si="29"/>
        <v>1</v>
      </c>
      <c r="Q23" s="785">
        <f>SUM('Bv Act'!Z22)</f>
        <v>64</v>
      </c>
      <c r="R23" s="712">
        <f>SUM('Bv Act'!AA22)</f>
        <v>7</v>
      </c>
      <c r="S23" s="706">
        <f>SUM('Bv Act'!AB22)</f>
        <v>4</v>
      </c>
      <c r="T23" s="787">
        <f t="shared" si="30"/>
        <v>3.125</v>
      </c>
      <c r="U23" s="704">
        <f t="shared" si="31"/>
        <v>164</v>
      </c>
      <c r="V23" s="715">
        <f t="shared" si="32"/>
        <v>10205</v>
      </c>
      <c r="W23" s="714">
        <f t="shared" si="33"/>
        <v>0</v>
      </c>
      <c r="X23" s="711">
        <f t="shared" si="34"/>
        <v>0</v>
      </c>
      <c r="Y23" s="715">
        <f t="shared" si="35"/>
        <v>1273</v>
      </c>
      <c r="Z23" s="787">
        <f t="shared" si="36"/>
        <v>240</v>
      </c>
      <c r="AA23" s="786">
        <f t="shared" si="37"/>
        <v>2944</v>
      </c>
      <c r="AB23" s="716">
        <f t="shared" si="38"/>
        <v>343</v>
      </c>
      <c r="AC23" s="787">
        <f t="shared" si="39"/>
        <v>146</v>
      </c>
      <c r="AD23" s="718">
        <f t="shared" si="40"/>
        <v>15151</v>
      </c>
      <c r="AE23" s="435"/>
      <c r="AF23" s="435"/>
      <c r="AG23" s="435"/>
      <c r="AH23" s="435"/>
      <c r="AI23" s="435"/>
      <c r="AJ23" s="435"/>
      <c r="AK23" s="435"/>
      <c r="AL23" s="435"/>
      <c r="AM23" s="435"/>
      <c r="AN23" s="435"/>
      <c r="AO23" s="435"/>
      <c r="AP23" s="435"/>
      <c r="AQ23" s="435"/>
      <c r="AR23" s="435"/>
      <c r="AS23" s="435"/>
      <c r="AT23" s="435"/>
      <c r="AU23" s="435"/>
      <c r="AV23" s="435"/>
      <c r="AW23" s="435"/>
      <c r="AX23" s="435"/>
      <c r="AY23" s="435"/>
      <c r="AZ23" s="435"/>
      <c r="BA23" s="435"/>
      <c r="BB23" s="435"/>
      <c r="BC23" s="435"/>
      <c r="BD23" s="435"/>
      <c r="BE23" s="435"/>
      <c r="BF23" s="435"/>
      <c r="BG23" s="435"/>
      <c r="BH23" s="435"/>
      <c r="BI23" s="435"/>
      <c r="BJ23" s="435"/>
      <c r="BK23" s="435"/>
      <c r="BL23" s="435"/>
      <c r="BM23" s="435"/>
      <c r="BN23" s="435"/>
    </row>
    <row r="24" spans="1:66" s="50" customFormat="1" ht="15" x14ac:dyDescent="0.2">
      <c r="A24" s="1071"/>
      <c r="B24" s="783" t="s">
        <v>278</v>
      </c>
      <c r="C24" s="803" t="s">
        <v>303</v>
      </c>
      <c r="D24" s="894">
        <f>25+21</f>
        <v>46</v>
      </c>
      <c r="E24" s="895">
        <f>16</f>
        <v>16</v>
      </c>
      <c r="F24" s="895">
        <v>0</v>
      </c>
      <c r="G24" s="896">
        <f>233+230</f>
        <v>463</v>
      </c>
      <c r="H24" s="704">
        <f t="shared" si="26"/>
        <v>525</v>
      </c>
      <c r="I24" s="705">
        <f>SUM('Bv Act'!U23)</f>
        <v>41</v>
      </c>
      <c r="J24" s="706">
        <f>SUM('Bv Act'!V23)</f>
        <v>0</v>
      </c>
      <c r="K24" s="711">
        <f t="shared" ref="K24" si="41">SUM(I24+J24)/12</f>
        <v>3.4166666666666665</v>
      </c>
      <c r="L24" s="708">
        <f>'Bv Act'!E23</f>
        <v>0</v>
      </c>
      <c r="M24" s="707">
        <f t="shared" si="28"/>
        <v>0</v>
      </c>
      <c r="N24" s="785">
        <f>SUM('Bv Act'!X23)</f>
        <v>0</v>
      </c>
      <c r="O24" s="710">
        <f>SUM('Bv Act'!Y23)</f>
        <v>0</v>
      </c>
      <c r="P24" s="786">
        <f t="shared" ref="P24" si="42">SUM(N24+O24)/24</f>
        <v>0</v>
      </c>
      <c r="Q24" s="785">
        <f>SUM('Bv Act'!Z23)</f>
        <v>146</v>
      </c>
      <c r="R24" s="712">
        <f>SUM('Bv Act'!AA23)</f>
        <v>33</v>
      </c>
      <c r="S24" s="706">
        <f>SUM('Bv Act'!AB23)</f>
        <v>24</v>
      </c>
      <c r="T24" s="787">
        <f t="shared" ref="T24" si="43">SUM(Q24+R24+S24)/24</f>
        <v>8.4583333333333339</v>
      </c>
      <c r="U24" s="704">
        <f t="shared" si="31"/>
        <v>244</v>
      </c>
      <c r="V24" s="715">
        <f t="shared" ref="V24" si="44">SUM(I24)*157</f>
        <v>6437</v>
      </c>
      <c r="W24" s="714">
        <f t="shared" ref="W24" si="45">SUM(J24)*102</f>
        <v>0</v>
      </c>
      <c r="X24" s="711">
        <f t="shared" si="34"/>
        <v>0</v>
      </c>
      <c r="Y24" s="715">
        <f t="shared" ref="Y24" si="46">SUM(N24)*67</f>
        <v>0</v>
      </c>
      <c r="Z24" s="787">
        <f t="shared" ref="Z24" si="47">SUM(O24)*48</f>
        <v>0</v>
      </c>
      <c r="AA24" s="786">
        <f t="shared" ref="AA24" si="48">SUM(Q24)*46</f>
        <v>6716</v>
      </c>
      <c r="AB24" s="716">
        <f t="shared" ref="AB24" si="49">SUM(R24)*49</f>
        <v>1617</v>
      </c>
      <c r="AC24" s="787">
        <f t="shared" ref="AC24" si="50">SUM(S24)*36.5</f>
        <v>876</v>
      </c>
      <c r="AD24" s="718">
        <f t="shared" si="40"/>
        <v>15646</v>
      </c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</row>
    <row r="25" spans="1:66" s="50" customFormat="1" ht="15.75" thickBot="1" x14ac:dyDescent="0.25">
      <c r="A25" s="1072"/>
      <c r="B25" s="804" t="s">
        <v>14</v>
      </c>
      <c r="C25" s="803" t="s">
        <v>251</v>
      </c>
      <c r="D25" s="900">
        <v>32</v>
      </c>
      <c r="E25" s="901">
        <v>2</v>
      </c>
      <c r="F25" s="901">
        <v>29</v>
      </c>
      <c r="G25" s="902">
        <v>306</v>
      </c>
      <c r="H25" s="721">
        <f t="shared" si="26"/>
        <v>369</v>
      </c>
      <c r="I25" s="705">
        <f>SUM('Bv Act'!U24)</f>
        <v>28</v>
      </c>
      <c r="J25" s="722">
        <f>SUM('Bv Act'!V24)</f>
        <v>0</v>
      </c>
      <c r="K25" s="723">
        <f t="shared" si="27"/>
        <v>2.3333333333333335</v>
      </c>
      <c r="L25" s="708">
        <f>'Bv Act'!E24</f>
        <v>0</v>
      </c>
      <c r="M25" s="707">
        <f t="shared" si="28"/>
        <v>0</v>
      </c>
      <c r="N25" s="805">
        <f>SUM('Bv Act'!X24)</f>
        <v>28</v>
      </c>
      <c r="O25" s="806">
        <f>SUM('Bv Act'!Y24)</f>
        <v>8</v>
      </c>
      <c r="P25" s="807">
        <f t="shared" si="29"/>
        <v>1.5</v>
      </c>
      <c r="Q25" s="805">
        <f>SUM('Bv Act'!Z24)</f>
        <v>79</v>
      </c>
      <c r="R25" s="727">
        <f>SUM('Bv Act'!AA24)</f>
        <v>4</v>
      </c>
      <c r="S25" s="806">
        <f>SUM('Bv Act'!AB24)</f>
        <v>2</v>
      </c>
      <c r="T25" s="808">
        <f t="shared" si="30"/>
        <v>3.5416666666666665</v>
      </c>
      <c r="U25" s="728">
        <f t="shared" si="31"/>
        <v>149</v>
      </c>
      <c r="V25" s="732">
        <f t="shared" si="32"/>
        <v>4396</v>
      </c>
      <c r="W25" s="730">
        <f t="shared" si="33"/>
        <v>0</v>
      </c>
      <c r="X25" s="731">
        <f t="shared" si="34"/>
        <v>0</v>
      </c>
      <c r="Y25" s="732">
        <f t="shared" si="35"/>
        <v>1876</v>
      </c>
      <c r="Z25" s="808">
        <f t="shared" si="36"/>
        <v>384</v>
      </c>
      <c r="AA25" s="807">
        <f t="shared" si="37"/>
        <v>3634</v>
      </c>
      <c r="AB25" s="733">
        <f t="shared" si="38"/>
        <v>196</v>
      </c>
      <c r="AC25" s="808">
        <f t="shared" si="39"/>
        <v>73</v>
      </c>
      <c r="AD25" s="735">
        <f t="shared" si="40"/>
        <v>10559</v>
      </c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</row>
    <row r="26" spans="1:66" s="50" customFormat="1" ht="13.5" customHeight="1" thickBot="1" x14ac:dyDescent="0.25">
      <c r="A26" s="667"/>
      <c r="B26" s="736"/>
      <c r="C26" s="737" t="s">
        <v>80</v>
      </c>
      <c r="D26" s="809">
        <f t="shared" ref="D26:Y26" si="51">SUM(D20:D25)</f>
        <v>200</v>
      </c>
      <c r="E26" s="809">
        <f t="shared" si="51"/>
        <v>52</v>
      </c>
      <c r="F26" s="809">
        <f t="shared" si="51"/>
        <v>427</v>
      </c>
      <c r="G26" s="809">
        <f t="shared" si="51"/>
        <v>1781</v>
      </c>
      <c r="H26" s="739">
        <f t="shared" si="51"/>
        <v>2460</v>
      </c>
      <c r="I26" s="739">
        <f t="shared" si="51"/>
        <v>180</v>
      </c>
      <c r="J26" s="740">
        <f t="shared" si="51"/>
        <v>0</v>
      </c>
      <c r="K26" s="747">
        <f t="shared" si="51"/>
        <v>15</v>
      </c>
      <c r="L26" s="747">
        <f t="shared" si="51"/>
        <v>0</v>
      </c>
      <c r="M26" s="747">
        <f t="shared" si="51"/>
        <v>0</v>
      </c>
      <c r="N26" s="810">
        <f t="shared" si="51"/>
        <v>65</v>
      </c>
      <c r="O26" s="746">
        <f t="shared" si="51"/>
        <v>13</v>
      </c>
      <c r="P26" s="744">
        <f t="shared" si="51"/>
        <v>3.25</v>
      </c>
      <c r="Q26" s="810">
        <f t="shared" si="51"/>
        <v>412</v>
      </c>
      <c r="R26" s="745">
        <f t="shared" si="51"/>
        <v>66</v>
      </c>
      <c r="S26" s="746">
        <f t="shared" si="51"/>
        <v>46</v>
      </c>
      <c r="T26" s="811">
        <f t="shared" si="51"/>
        <v>21.833333333333332</v>
      </c>
      <c r="U26" s="739">
        <f t="shared" si="51"/>
        <v>782</v>
      </c>
      <c r="V26" s="750">
        <f t="shared" si="51"/>
        <v>28260</v>
      </c>
      <c r="W26" s="740">
        <f t="shared" si="51"/>
        <v>0</v>
      </c>
      <c r="X26" s="740">
        <f t="shared" si="51"/>
        <v>0</v>
      </c>
      <c r="Y26" s="744">
        <f t="shared" si="51"/>
        <v>4355</v>
      </c>
      <c r="Z26" s="811">
        <f>SUM(Z20:Z25)</f>
        <v>624</v>
      </c>
      <c r="AA26" s="750">
        <f>SUM(AA20:AA25)</f>
        <v>18952</v>
      </c>
      <c r="AB26" s="751">
        <f>SUM(AB20:AB25)</f>
        <v>3234</v>
      </c>
      <c r="AC26" s="811">
        <f>SUM(AC20:AC25)</f>
        <v>1679</v>
      </c>
      <c r="AD26" s="747">
        <f>SUM(AD20:AD25)</f>
        <v>57104</v>
      </c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</row>
    <row r="27" spans="1:66" s="111" customFormat="1" ht="15.75" thickBot="1" x14ac:dyDescent="0.25">
      <c r="B27" s="753"/>
      <c r="C27" s="753"/>
      <c r="D27" s="766"/>
      <c r="E27" s="766"/>
      <c r="F27" s="766"/>
      <c r="G27" s="766"/>
      <c r="H27" s="812"/>
      <c r="I27" s="763"/>
      <c r="J27" s="764"/>
      <c r="K27" s="764"/>
      <c r="L27" s="764"/>
      <c r="M27" s="764"/>
      <c r="N27" s="763"/>
      <c r="O27" s="763"/>
      <c r="P27" s="764"/>
      <c r="Q27" s="763"/>
      <c r="R27" s="763"/>
      <c r="S27" s="763"/>
      <c r="T27" s="764"/>
      <c r="U27" s="765"/>
      <c r="V27" s="764"/>
      <c r="W27" s="764"/>
      <c r="X27" s="764"/>
      <c r="Y27" s="764"/>
      <c r="Z27" s="764"/>
      <c r="AA27" s="764"/>
      <c r="AB27" s="764"/>
      <c r="AC27" s="764"/>
      <c r="AD27" s="766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</row>
    <row r="28" spans="1:66" s="113" customFormat="1" ht="15" customHeight="1" x14ac:dyDescent="0.2">
      <c r="A28" s="1070" t="s">
        <v>220</v>
      </c>
      <c r="B28" s="813" t="s">
        <v>15</v>
      </c>
      <c r="C28" s="814" t="s">
        <v>294</v>
      </c>
      <c r="D28" s="903">
        <v>26</v>
      </c>
      <c r="E28" s="904">
        <v>6</v>
      </c>
      <c r="F28" s="904">
        <v>15</v>
      </c>
      <c r="G28" s="905">
        <v>1026</v>
      </c>
      <c r="H28" s="769">
        <f t="shared" ref="H28:H36" si="52">SUM(D28:G28)</f>
        <v>1073</v>
      </c>
      <c r="I28" s="815">
        <f>SUM('Bv Act'!U27)</f>
        <v>22</v>
      </c>
      <c r="J28" s="770">
        <f>SUM('Bv Act'!V27)</f>
        <v>0</v>
      </c>
      <c r="K28" s="757">
        <f t="shared" ref="K28:K36" si="53">SUM(I28+J28)/12</f>
        <v>1.8333333333333333</v>
      </c>
      <c r="L28" s="772">
        <f>'Bv Act'!E27</f>
        <v>0</v>
      </c>
      <c r="M28" s="695">
        <f t="shared" ref="M28:M36" si="54">L28/12</f>
        <v>0</v>
      </c>
      <c r="N28" s="776">
        <f>SUM('Bv Act'!X27)</f>
        <v>10</v>
      </c>
      <c r="O28" s="816">
        <f>SUM('Bv Act'!Y27)</f>
        <v>4</v>
      </c>
      <c r="P28" s="781">
        <f t="shared" ref="P28:P36" si="55">SUM(N28+O28)/24</f>
        <v>0.58333333333333337</v>
      </c>
      <c r="Q28" s="815">
        <f>SUM('Bv Act'!Z27)</f>
        <v>434</v>
      </c>
      <c r="R28" s="694">
        <f>SUM('Bv Act'!AA27)</f>
        <v>0</v>
      </c>
      <c r="S28" s="770">
        <f>SUM('Bv Act'!AB27)</f>
        <v>69</v>
      </c>
      <c r="T28" s="817">
        <f t="shared" ref="T28:T36" si="56">SUM(Q28+R28+S28)/24</f>
        <v>20.958333333333332</v>
      </c>
      <c r="U28" s="687">
        <f t="shared" ref="U28:U36" si="57">SUM(I28+J28+N28+O28+Q28+R28+S28+L28)</f>
        <v>539</v>
      </c>
      <c r="V28" s="698">
        <f t="shared" ref="V28:V36" si="58">SUM(I28)*157</f>
        <v>3454</v>
      </c>
      <c r="W28" s="700">
        <f t="shared" ref="W28:W36" si="59">SUM(J28)*102</f>
        <v>0</v>
      </c>
      <c r="X28" s="690">
        <f t="shared" ref="X28:X36" si="60">L28*146</f>
        <v>0</v>
      </c>
      <c r="Y28" s="696">
        <f t="shared" ref="Y28:Y36" si="61">SUM(N28)*67</f>
        <v>670</v>
      </c>
      <c r="Z28" s="697">
        <f t="shared" ref="Z28:Z36" si="62">SUM(O28)*48</f>
        <v>192</v>
      </c>
      <c r="AA28" s="698">
        <f t="shared" ref="AA28:AA36" si="63">SUM(Q28)*46</f>
        <v>19964</v>
      </c>
      <c r="AB28" s="699">
        <f t="shared" ref="AB28:AB36" si="64">SUM(R28)*49</f>
        <v>0</v>
      </c>
      <c r="AC28" s="700">
        <f t="shared" ref="AC28:AC36" si="65">SUM(S28)*36.5</f>
        <v>2518.5</v>
      </c>
      <c r="AD28" s="701">
        <f t="shared" ref="AD28:AD36" si="66">SUM(V28+W28+Y28+Z28+AA28+AB28+AC28+X28)</f>
        <v>26798.5</v>
      </c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</row>
    <row r="29" spans="1:66" s="50" customFormat="1" ht="14.25" customHeight="1" x14ac:dyDescent="0.2">
      <c r="A29" s="1071"/>
      <c r="B29" s="818" t="s">
        <v>16</v>
      </c>
      <c r="C29" s="819" t="s">
        <v>252</v>
      </c>
      <c r="D29" s="894">
        <v>59</v>
      </c>
      <c r="E29" s="895">
        <v>22</v>
      </c>
      <c r="F29" s="895">
        <v>19</v>
      </c>
      <c r="G29" s="896">
        <v>853</v>
      </c>
      <c r="H29" s="704">
        <f t="shared" si="52"/>
        <v>953</v>
      </c>
      <c r="I29" s="785">
        <f>SUM('Bv Act'!U28)</f>
        <v>50</v>
      </c>
      <c r="J29" s="706">
        <f>SUM('Bv Act'!V28)</f>
        <v>0</v>
      </c>
      <c r="K29" s="820">
        <f t="shared" si="53"/>
        <v>4.166666666666667</v>
      </c>
      <c r="L29" s="708">
        <f>'Bv Act'!E28</f>
        <v>0</v>
      </c>
      <c r="M29" s="707">
        <f t="shared" si="54"/>
        <v>0</v>
      </c>
      <c r="N29" s="785">
        <f>SUM('Bv Act'!X28)</f>
        <v>38</v>
      </c>
      <c r="O29" s="706">
        <f>SUM('Bv Act'!Y28)</f>
        <v>0</v>
      </c>
      <c r="P29" s="711">
        <f t="shared" si="55"/>
        <v>1.5833333333333333</v>
      </c>
      <c r="Q29" s="773">
        <f>SUM('Bv Act'!Z28)</f>
        <v>426</v>
      </c>
      <c r="R29" s="821">
        <f>SUM('Bv Act'!AA28)</f>
        <v>24</v>
      </c>
      <c r="S29" s="774">
        <f>SUM('Bv Act'!AB28)</f>
        <v>84</v>
      </c>
      <c r="T29" s="822">
        <f t="shared" si="56"/>
        <v>22.25</v>
      </c>
      <c r="U29" s="704">
        <f t="shared" si="57"/>
        <v>622</v>
      </c>
      <c r="V29" s="823">
        <f t="shared" si="58"/>
        <v>7850</v>
      </c>
      <c r="W29" s="764">
        <f t="shared" si="59"/>
        <v>0</v>
      </c>
      <c r="X29" s="711">
        <f t="shared" si="60"/>
        <v>0</v>
      </c>
      <c r="Y29" s="715">
        <f t="shared" si="61"/>
        <v>2546</v>
      </c>
      <c r="Z29" s="717">
        <f t="shared" si="62"/>
        <v>0</v>
      </c>
      <c r="AA29" s="823">
        <f t="shared" si="63"/>
        <v>19596</v>
      </c>
      <c r="AB29" s="824">
        <f t="shared" si="64"/>
        <v>1176</v>
      </c>
      <c r="AC29" s="825">
        <f t="shared" si="65"/>
        <v>3066</v>
      </c>
      <c r="AD29" s="718">
        <f t="shared" si="66"/>
        <v>34234</v>
      </c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</row>
    <row r="30" spans="1:66" s="50" customFormat="1" ht="15" x14ac:dyDescent="0.2">
      <c r="A30" s="1071"/>
      <c r="B30" s="818" t="s">
        <v>17</v>
      </c>
      <c r="C30" s="819" t="s">
        <v>238</v>
      </c>
      <c r="D30" s="894">
        <v>41</v>
      </c>
      <c r="E30" s="895">
        <v>31</v>
      </c>
      <c r="F30" s="895">
        <v>34</v>
      </c>
      <c r="G30" s="896">
        <v>1291</v>
      </c>
      <c r="H30" s="704">
        <f t="shared" si="52"/>
        <v>1397</v>
      </c>
      <c r="I30" s="785">
        <f>SUM('Bv Act'!U29)</f>
        <v>41</v>
      </c>
      <c r="J30" s="706">
        <f>SUM('Bv Act'!V29)</f>
        <v>0</v>
      </c>
      <c r="K30" s="820">
        <f t="shared" si="53"/>
        <v>3.4166666666666665</v>
      </c>
      <c r="L30" s="708">
        <f>'Bv Act'!E29</f>
        <v>0</v>
      </c>
      <c r="M30" s="707">
        <f t="shared" si="54"/>
        <v>0</v>
      </c>
      <c r="N30" s="785">
        <f>SUM('Bv Act'!X29)</f>
        <v>52</v>
      </c>
      <c r="O30" s="706">
        <f>SUM('Bv Act'!Y29)</f>
        <v>8</v>
      </c>
      <c r="P30" s="711">
        <f t="shared" si="55"/>
        <v>2.5</v>
      </c>
      <c r="Q30" s="785">
        <f>SUM('Bv Act'!Z29)</f>
        <v>449</v>
      </c>
      <c r="R30" s="712">
        <f>SUM('Bv Act'!AA29)</f>
        <v>22</v>
      </c>
      <c r="S30" s="710">
        <f>SUM('Bv Act'!AB29)</f>
        <v>74</v>
      </c>
      <c r="T30" s="711">
        <f t="shared" si="56"/>
        <v>22.708333333333332</v>
      </c>
      <c r="U30" s="704">
        <f t="shared" si="57"/>
        <v>646</v>
      </c>
      <c r="V30" s="715">
        <f t="shared" si="58"/>
        <v>6437</v>
      </c>
      <c r="W30" s="717">
        <f t="shared" si="59"/>
        <v>0</v>
      </c>
      <c r="X30" s="711">
        <f t="shared" si="60"/>
        <v>0</v>
      </c>
      <c r="Y30" s="715">
        <f t="shared" si="61"/>
        <v>3484</v>
      </c>
      <c r="Z30" s="717">
        <f t="shared" si="62"/>
        <v>384</v>
      </c>
      <c r="AA30" s="715">
        <f t="shared" si="63"/>
        <v>20654</v>
      </c>
      <c r="AB30" s="716">
        <f t="shared" si="64"/>
        <v>1078</v>
      </c>
      <c r="AC30" s="717">
        <f t="shared" si="65"/>
        <v>2701</v>
      </c>
      <c r="AD30" s="718">
        <f t="shared" si="66"/>
        <v>34738</v>
      </c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</row>
    <row r="31" spans="1:66" s="50" customFormat="1" ht="15" x14ac:dyDescent="0.2">
      <c r="A31" s="1071"/>
      <c r="B31" s="818" t="s">
        <v>18</v>
      </c>
      <c r="C31" s="819" t="s">
        <v>281</v>
      </c>
      <c r="D31" s="894">
        <v>64</v>
      </c>
      <c r="E31" s="895">
        <v>25</v>
      </c>
      <c r="F31" s="895">
        <v>60</v>
      </c>
      <c r="G31" s="896">
        <v>854</v>
      </c>
      <c r="H31" s="704">
        <f t="shared" si="52"/>
        <v>1003</v>
      </c>
      <c r="I31" s="785">
        <f>SUM('Bv Act'!U30)</f>
        <v>56</v>
      </c>
      <c r="J31" s="706">
        <f>SUM('Bv Act'!V30)</f>
        <v>0</v>
      </c>
      <c r="K31" s="820">
        <f t="shared" si="53"/>
        <v>4.666666666666667</v>
      </c>
      <c r="L31" s="708">
        <f>'Bv Act'!E30</f>
        <v>0</v>
      </c>
      <c r="M31" s="707">
        <f t="shared" si="54"/>
        <v>0</v>
      </c>
      <c r="N31" s="785">
        <f>SUM('Bv Act'!X30)</f>
        <v>76</v>
      </c>
      <c r="O31" s="706">
        <f>SUM('Bv Act'!Y30)</f>
        <v>8</v>
      </c>
      <c r="P31" s="711">
        <f t="shared" si="55"/>
        <v>3.5</v>
      </c>
      <c r="Q31" s="785">
        <f>SUM('Bv Act'!Z30)</f>
        <v>333</v>
      </c>
      <c r="R31" s="712">
        <f>SUM('Bv Act'!AA30)</f>
        <v>0</v>
      </c>
      <c r="S31" s="710">
        <f>SUM('Bv Act'!AB30)</f>
        <v>68</v>
      </c>
      <c r="T31" s="711">
        <f t="shared" si="56"/>
        <v>16.708333333333332</v>
      </c>
      <c r="U31" s="704">
        <f t="shared" si="57"/>
        <v>541</v>
      </c>
      <c r="V31" s="715">
        <f t="shared" si="58"/>
        <v>8792</v>
      </c>
      <c r="W31" s="717">
        <f t="shared" si="59"/>
        <v>0</v>
      </c>
      <c r="X31" s="711">
        <f t="shared" si="60"/>
        <v>0</v>
      </c>
      <c r="Y31" s="715">
        <f t="shared" si="61"/>
        <v>5092</v>
      </c>
      <c r="Z31" s="717">
        <f t="shared" si="62"/>
        <v>384</v>
      </c>
      <c r="AA31" s="715">
        <f t="shared" si="63"/>
        <v>15318</v>
      </c>
      <c r="AB31" s="716">
        <f t="shared" si="64"/>
        <v>0</v>
      </c>
      <c r="AC31" s="717">
        <f t="shared" si="65"/>
        <v>2482</v>
      </c>
      <c r="AD31" s="718">
        <f t="shared" si="66"/>
        <v>32068</v>
      </c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</row>
    <row r="32" spans="1:66" s="50" customFormat="1" ht="15" x14ac:dyDescent="0.2">
      <c r="A32" s="1071"/>
      <c r="B32" s="818" t="s">
        <v>19</v>
      </c>
      <c r="C32" s="819" t="s">
        <v>241</v>
      </c>
      <c r="D32" s="894">
        <v>65</v>
      </c>
      <c r="E32" s="895">
        <v>21</v>
      </c>
      <c r="F32" s="895">
        <v>65</v>
      </c>
      <c r="G32" s="896">
        <v>1468</v>
      </c>
      <c r="H32" s="704">
        <f>SUM(D32:G32)</f>
        <v>1619</v>
      </c>
      <c r="I32" s="785">
        <f>SUM('Bv Act'!U31)</f>
        <v>62</v>
      </c>
      <c r="J32" s="706">
        <f>SUM('Bv Act'!V31)</f>
        <v>0</v>
      </c>
      <c r="K32" s="820">
        <f t="shared" si="53"/>
        <v>5.166666666666667</v>
      </c>
      <c r="L32" s="708">
        <f>'Bv Act'!E31</f>
        <v>38</v>
      </c>
      <c r="M32" s="707">
        <f t="shared" si="54"/>
        <v>3.1666666666666665</v>
      </c>
      <c r="N32" s="785">
        <f>SUM('Bv Act'!X31)</f>
        <v>68</v>
      </c>
      <c r="O32" s="706">
        <f>SUM('Bv Act'!Y31)</f>
        <v>2</v>
      </c>
      <c r="P32" s="711">
        <f t="shared" si="55"/>
        <v>2.9166666666666665</v>
      </c>
      <c r="Q32" s="785">
        <f>SUM('Bv Act'!Z31)</f>
        <v>728</v>
      </c>
      <c r="R32" s="712">
        <f>SUM('Bv Act'!AA31)</f>
        <v>0</v>
      </c>
      <c r="S32" s="710">
        <f>SUM('Bv Act'!AB31)</f>
        <v>18</v>
      </c>
      <c r="T32" s="711">
        <f t="shared" si="56"/>
        <v>31.083333333333332</v>
      </c>
      <c r="U32" s="704">
        <f t="shared" si="57"/>
        <v>916</v>
      </c>
      <c r="V32" s="715">
        <f t="shared" si="58"/>
        <v>9734</v>
      </c>
      <c r="W32" s="717">
        <f t="shared" si="59"/>
        <v>0</v>
      </c>
      <c r="X32" s="711">
        <f t="shared" si="60"/>
        <v>5548</v>
      </c>
      <c r="Y32" s="715">
        <f t="shared" si="61"/>
        <v>4556</v>
      </c>
      <c r="Z32" s="717">
        <f t="shared" si="62"/>
        <v>96</v>
      </c>
      <c r="AA32" s="715">
        <f t="shared" si="63"/>
        <v>33488</v>
      </c>
      <c r="AB32" s="716">
        <f t="shared" si="64"/>
        <v>0</v>
      </c>
      <c r="AC32" s="717">
        <f t="shared" si="65"/>
        <v>657</v>
      </c>
      <c r="AD32" s="718">
        <f t="shared" si="66"/>
        <v>54079</v>
      </c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</row>
    <row r="33" spans="1:66" s="50" customFormat="1" ht="15" x14ac:dyDescent="0.2">
      <c r="A33" s="1071"/>
      <c r="B33" s="818" t="s">
        <v>20</v>
      </c>
      <c r="C33" s="819" t="s">
        <v>253</v>
      </c>
      <c r="D33" s="894">
        <v>36</v>
      </c>
      <c r="E33" s="895">
        <v>91</v>
      </c>
      <c r="F33" s="895">
        <v>12</v>
      </c>
      <c r="G33" s="896">
        <v>1198</v>
      </c>
      <c r="H33" s="704">
        <f>SUM(D33:G33)</f>
        <v>1337</v>
      </c>
      <c r="I33" s="785">
        <f>SUM('Bv Act'!U32)</f>
        <v>35</v>
      </c>
      <c r="J33" s="706">
        <f>SUM('Bv Act'!V32)</f>
        <v>0</v>
      </c>
      <c r="K33" s="820">
        <f t="shared" si="53"/>
        <v>2.9166666666666665</v>
      </c>
      <c r="L33" s="708">
        <f>'Bv Act'!E32</f>
        <v>174</v>
      </c>
      <c r="M33" s="707">
        <f t="shared" si="54"/>
        <v>14.5</v>
      </c>
      <c r="N33" s="785">
        <f>SUM('Bv Act'!X32)</f>
        <v>2</v>
      </c>
      <c r="O33" s="706">
        <f>SUM('Bv Act'!Y32)</f>
        <v>6</v>
      </c>
      <c r="P33" s="711">
        <f t="shared" si="55"/>
        <v>0.33333333333333331</v>
      </c>
      <c r="Q33" s="785">
        <f>SUM('Bv Act'!Z32)</f>
        <v>391</v>
      </c>
      <c r="R33" s="712">
        <f>SUM('Bv Act'!AA32)</f>
        <v>0</v>
      </c>
      <c r="S33" s="710">
        <f>SUM('Bv Act'!AB32)</f>
        <v>65</v>
      </c>
      <c r="T33" s="711">
        <f t="shared" si="56"/>
        <v>19</v>
      </c>
      <c r="U33" s="704">
        <f t="shared" si="57"/>
        <v>673</v>
      </c>
      <c r="V33" s="715">
        <f t="shared" si="58"/>
        <v>5495</v>
      </c>
      <c r="W33" s="717">
        <f t="shared" si="59"/>
        <v>0</v>
      </c>
      <c r="X33" s="711">
        <f t="shared" si="60"/>
        <v>25404</v>
      </c>
      <c r="Y33" s="715">
        <f t="shared" si="61"/>
        <v>134</v>
      </c>
      <c r="Z33" s="717">
        <f t="shared" si="62"/>
        <v>288</v>
      </c>
      <c r="AA33" s="715">
        <f t="shared" si="63"/>
        <v>17986</v>
      </c>
      <c r="AB33" s="716">
        <f t="shared" si="64"/>
        <v>0</v>
      </c>
      <c r="AC33" s="717">
        <f t="shared" si="65"/>
        <v>2372.5</v>
      </c>
      <c r="AD33" s="718">
        <f t="shared" si="66"/>
        <v>51679.5</v>
      </c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</row>
    <row r="34" spans="1:66" s="50" customFormat="1" ht="15" x14ac:dyDescent="0.2">
      <c r="A34" s="1071"/>
      <c r="B34" s="818" t="s">
        <v>21</v>
      </c>
      <c r="C34" s="819" t="s">
        <v>239</v>
      </c>
      <c r="D34" s="894">
        <v>14</v>
      </c>
      <c r="E34" s="895">
        <v>13</v>
      </c>
      <c r="F34" s="895">
        <v>31</v>
      </c>
      <c r="G34" s="896">
        <v>781</v>
      </c>
      <c r="H34" s="704">
        <f t="shared" si="52"/>
        <v>839</v>
      </c>
      <c r="I34" s="785">
        <f>SUM('Bv Act'!U33)</f>
        <v>12</v>
      </c>
      <c r="J34" s="706">
        <f>SUM('Bv Act'!V33)</f>
        <v>0</v>
      </c>
      <c r="K34" s="820">
        <f t="shared" si="53"/>
        <v>1</v>
      </c>
      <c r="L34" s="708">
        <f>'Bv Act'!E33</f>
        <v>0</v>
      </c>
      <c r="M34" s="707">
        <f t="shared" si="54"/>
        <v>0</v>
      </c>
      <c r="N34" s="785">
        <f>SUM('Bv Act'!X33)</f>
        <v>26</v>
      </c>
      <c r="O34" s="706">
        <f>SUM('Bv Act'!Y33)</f>
        <v>6</v>
      </c>
      <c r="P34" s="711">
        <f t="shared" si="55"/>
        <v>1.3333333333333333</v>
      </c>
      <c r="Q34" s="785">
        <f>SUM('Bv Act'!Z33)</f>
        <v>282</v>
      </c>
      <c r="R34" s="712">
        <f>SUM('Bv Act'!AA33)</f>
        <v>0</v>
      </c>
      <c r="S34" s="710">
        <f>SUM('Bv Act'!AB33)</f>
        <v>60</v>
      </c>
      <c r="T34" s="711">
        <f t="shared" si="56"/>
        <v>14.25</v>
      </c>
      <c r="U34" s="704">
        <f t="shared" si="57"/>
        <v>386</v>
      </c>
      <c r="V34" s="715">
        <f t="shared" si="58"/>
        <v>1884</v>
      </c>
      <c r="W34" s="717">
        <f t="shared" si="59"/>
        <v>0</v>
      </c>
      <c r="X34" s="711">
        <f t="shared" si="60"/>
        <v>0</v>
      </c>
      <c r="Y34" s="715">
        <f t="shared" si="61"/>
        <v>1742</v>
      </c>
      <c r="Z34" s="717">
        <f t="shared" si="62"/>
        <v>288</v>
      </c>
      <c r="AA34" s="715">
        <f t="shared" si="63"/>
        <v>12972</v>
      </c>
      <c r="AB34" s="716">
        <f t="shared" si="64"/>
        <v>0</v>
      </c>
      <c r="AC34" s="717">
        <f t="shared" si="65"/>
        <v>2190</v>
      </c>
      <c r="AD34" s="718">
        <f t="shared" si="66"/>
        <v>19076</v>
      </c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</row>
    <row r="35" spans="1:66" s="50" customFormat="1" ht="15" x14ac:dyDescent="0.2">
      <c r="A35" s="1071"/>
      <c r="B35" s="818" t="s">
        <v>279</v>
      </c>
      <c r="C35" s="826" t="s">
        <v>280</v>
      </c>
      <c r="D35" s="894">
        <v>43</v>
      </c>
      <c r="E35" s="895">
        <v>2</v>
      </c>
      <c r="F35" s="895">
        <v>25</v>
      </c>
      <c r="G35" s="896">
        <v>694</v>
      </c>
      <c r="H35" s="704">
        <f t="shared" si="52"/>
        <v>764</v>
      </c>
      <c r="I35" s="785">
        <f>SUM('Bv Act'!U34)</f>
        <v>37</v>
      </c>
      <c r="J35" s="706">
        <f>SUM('Bv Act'!V34)</f>
        <v>0</v>
      </c>
      <c r="K35" s="820">
        <f t="shared" si="53"/>
        <v>3.0833333333333335</v>
      </c>
      <c r="L35" s="708">
        <f>'Bv Act'!E34</f>
        <v>0</v>
      </c>
      <c r="M35" s="707">
        <f t="shared" si="54"/>
        <v>0</v>
      </c>
      <c r="N35" s="785">
        <f>SUM('Bv Act'!X34)</f>
        <v>10</v>
      </c>
      <c r="O35" s="706">
        <f>SUM('Bv Act'!Y34)</f>
        <v>26</v>
      </c>
      <c r="P35" s="711">
        <f t="shared" si="55"/>
        <v>1.5</v>
      </c>
      <c r="Q35" s="785">
        <f>SUM('Bv Act'!Z34)</f>
        <v>301</v>
      </c>
      <c r="R35" s="712">
        <f>SUM('Bv Act'!AA34)</f>
        <v>1</v>
      </c>
      <c r="S35" s="710">
        <f>SUM('Bv Act'!AB34)</f>
        <v>61</v>
      </c>
      <c r="T35" s="711">
        <f t="shared" si="56"/>
        <v>15.125</v>
      </c>
      <c r="U35" s="704">
        <f t="shared" si="57"/>
        <v>436</v>
      </c>
      <c r="V35" s="715">
        <f t="shared" si="58"/>
        <v>5809</v>
      </c>
      <c r="W35" s="717">
        <f t="shared" si="59"/>
        <v>0</v>
      </c>
      <c r="X35" s="711">
        <f t="shared" si="60"/>
        <v>0</v>
      </c>
      <c r="Y35" s="715">
        <f t="shared" si="61"/>
        <v>670</v>
      </c>
      <c r="Z35" s="717">
        <f t="shared" si="62"/>
        <v>1248</v>
      </c>
      <c r="AA35" s="715">
        <f t="shared" si="63"/>
        <v>13846</v>
      </c>
      <c r="AB35" s="716">
        <f t="shared" si="64"/>
        <v>49</v>
      </c>
      <c r="AC35" s="717">
        <f t="shared" si="65"/>
        <v>2226.5</v>
      </c>
      <c r="AD35" s="718">
        <f t="shared" si="66"/>
        <v>23848.5</v>
      </c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</row>
    <row r="36" spans="1:66" s="50" customFormat="1" ht="15.75" thickBot="1" x14ac:dyDescent="0.25">
      <c r="A36" s="1072"/>
      <c r="B36" s="827" t="s">
        <v>22</v>
      </c>
      <c r="C36" s="826" t="s">
        <v>227</v>
      </c>
      <c r="D36" s="900">
        <v>35</v>
      </c>
      <c r="E36" s="901">
        <v>13</v>
      </c>
      <c r="F36" s="901">
        <v>0</v>
      </c>
      <c r="G36" s="902">
        <v>987</v>
      </c>
      <c r="H36" s="721">
        <f t="shared" si="52"/>
        <v>1035</v>
      </c>
      <c r="I36" s="785">
        <f>SUM('Bv Act'!U35)</f>
        <v>32</v>
      </c>
      <c r="J36" s="706">
        <f>SUM('Bv Act'!V35)</f>
        <v>0</v>
      </c>
      <c r="K36" s="808">
        <f t="shared" si="53"/>
        <v>2.6666666666666665</v>
      </c>
      <c r="L36" s="708">
        <f>'Bv Act'!E35</f>
        <v>0</v>
      </c>
      <c r="M36" s="707">
        <f t="shared" si="54"/>
        <v>0</v>
      </c>
      <c r="N36" s="805">
        <f>SUM('Bv Act'!X35)</f>
        <v>0</v>
      </c>
      <c r="O36" s="726">
        <f>SUM('Bv Act'!Y35)</f>
        <v>0</v>
      </c>
      <c r="P36" s="807">
        <f t="shared" si="55"/>
        <v>0</v>
      </c>
      <c r="Q36" s="805">
        <f>SUM('Bv Act'!Z35)</f>
        <v>419</v>
      </c>
      <c r="R36" s="727">
        <f>SUM('Bv Act'!AA35)</f>
        <v>0</v>
      </c>
      <c r="S36" s="726">
        <f>SUM('Bv Act'!AB35)</f>
        <v>31</v>
      </c>
      <c r="T36" s="723">
        <f t="shared" si="56"/>
        <v>18.75</v>
      </c>
      <c r="U36" s="728">
        <f t="shared" si="57"/>
        <v>482</v>
      </c>
      <c r="V36" s="732">
        <f t="shared" si="58"/>
        <v>5024</v>
      </c>
      <c r="W36" s="808">
        <f t="shared" si="59"/>
        <v>0</v>
      </c>
      <c r="X36" s="731">
        <f t="shared" si="60"/>
        <v>0</v>
      </c>
      <c r="Y36" s="732">
        <f t="shared" si="61"/>
        <v>0</v>
      </c>
      <c r="Z36" s="734">
        <f t="shared" si="62"/>
        <v>0</v>
      </c>
      <c r="AA36" s="732">
        <f t="shared" si="63"/>
        <v>19274</v>
      </c>
      <c r="AB36" s="733">
        <f t="shared" si="64"/>
        <v>0</v>
      </c>
      <c r="AC36" s="734">
        <f t="shared" si="65"/>
        <v>1131.5</v>
      </c>
      <c r="AD36" s="735">
        <f t="shared" si="66"/>
        <v>25429.5</v>
      </c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</row>
    <row r="37" spans="1:66" s="50" customFormat="1" ht="13.5" customHeight="1" thickBot="1" x14ac:dyDescent="0.25">
      <c r="A37" s="667"/>
      <c r="B37" s="736"/>
      <c r="C37" s="737" t="s">
        <v>80</v>
      </c>
      <c r="D37" s="809">
        <f>SUM(D28:D36)</f>
        <v>383</v>
      </c>
      <c r="E37" s="809">
        <f>SUM(E28:E36)</f>
        <v>224</v>
      </c>
      <c r="F37" s="809">
        <f>SUM(F28:F36)</f>
        <v>261</v>
      </c>
      <c r="G37" s="809">
        <f>SUM(G28:G36)</f>
        <v>9152</v>
      </c>
      <c r="H37" s="739">
        <f>SUM(H28:H36)</f>
        <v>10020</v>
      </c>
      <c r="I37" s="739">
        <f t="shared" ref="I37:Y37" si="67">SUM(I28:I36)</f>
        <v>347</v>
      </c>
      <c r="J37" s="740">
        <f t="shared" si="67"/>
        <v>0</v>
      </c>
      <c r="K37" s="811">
        <f t="shared" si="67"/>
        <v>28.916666666666668</v>
      </c>
      <c r="L37" s="811">
        <f t="shared" si="67"/>
        <v>212</v>
      </c>
      <c r="M37" s="811">
        <f t="shared" si="67"/>
        <v>17.666666666666668</v>
      </c>
      <c r="N37" s="739">
        <f t="shared" si="67"/>
        <v>282</v>
      </c>
      <c r="O37" s="828">
        <f t="shared" si="67"/>
        <v>60</v>
      </c>
      <c r="P37" s="744">
        <f>SUM(P28:P36)</f>
        <v>14.25</v>
      </c>
      <c r="Q37" s="739">
        <f t="shared" si="67"/>
        <v>3763</v>
      </c>
      <c r="R37" s="745">
        <f t="shared" si="67"/>
        <v>47</v>
      </c>
      <c r="S37" s="829">
        <f t="shared" si="67"/>
        <v>530</v>
      </c>
      <c r="T37" s="747">
        <f t="shared" si="67"/>
        <v>180.83333333333331</v>
      </c>
      <c r="U37" s="739">
        <f>SUM(U28:U36)</f>
        <v>5241</v>
      </c>
      <c r="V37" s="744">
        <f t="shared" si="67"/>
        <v>54479</v>
      </c>
      <c r="W37" s="749">
        <f t="shared" si="67"/>
        <v>0</v>
      </c>
      <c r="X37" s="747">
        <f t="shared" si="67"/>
        <v>30952</v>
      </c>
      <c r="Y37" s="744">
        <f t="shared" si="67"/>
        <v>18894</v>
      </c>
      <c r="Z37" s="752">
        <f>SUM(Z28:Z36)</f>
        <v>2880</v>
      </c>
      <c r="AA37" s="744">
        <f>SUM(AA28:AA36)</f>
        <v>173098</v>
      </c>
      <c r="AB37" s="751">
        <f>SUM(AB28:AB36)</f>
        <v>2303</v>
      </c>
      <c r="AC37" s="740">
        <f>SUM(AC28:AC36)</f>
        <v>19345</v>
      </c>
      <c r="AD37" s="747">
        <f>SUM(AD28:AD36)</f>
        <v>301951</v>
      </c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</row>
    <row r="38" spans="1:66" s="111" customFormat="1" ht="15.75" thickBot="1" x14ac:dyDescent="0.25">
      <c r="B38" s="753"/>
      <c r="C38" s="753"/>
      <c r="D38" s="830"/>
      <c r="E38" s="830"/>
      <c r="F38" s="830"/>
      <c r="G38" s="830"/>
      <c r="H38" s="831"/>
      <c r="I38" s="832"/>
      <c r="J38" s="169"/>
      <c r="K38" s="169"/>
      <c r="L38" s="169"/>
      <c r="M38" s="169"/>
      <c r="N38" s="832"/>
      <c r="O38" s="832"/>
      <c r="P38" s="169"/>
      <c r="Q38" s="832"/>
      <c r="R38" s="832"/>
      <c r="S38" s="832"/>
      <c r="T38" s="169"/>
      <c r="U38" s="833"/>
      <c r="V38" s="169"/>
      <c r="W38" s="169"/>
      <c r="X38" s="169"/>
      <c r="Y38" s="169"/>
      <c r="Z38" s="169"/>
      <c r="AA38" s="169"/>
      <c r="AB38" s="169"/>
      <c r="AC38" s="169"/>
      <c r="AD38" s="137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</row>
    <row r="39" spans="1:66" s="113" customFormat="1" ht="15" customHeight="1" x14ac:dyDescent="0.2">
      <c r="A39" s="1064" t="s">
        <v>77</v>
      </c>
      <c r="B39" s="813" t="s">
        <v>23</v>
      </c>
      <c r="C39" s="814" t="s">
        <v>24</v>
      </c>
      <c r="D39" s="903">
        <v>30</v>
      </c>
      <c r="E39" s="904">
        <v>0</v>
      </c>
      <c r="F39" s="904">
        <v>0</v>
      </c>
      <c r="G39" s="904">
        <v>493</v>
      </c>
      <c r="H39" s="834">
        <f t="shared" ref="H39:H48" si="68">SUM(D39:G39)</f>
        <v>523</v>
      </c>
      <c r="I39" s="815">
        <f>SUM('Bv Act'!U38)</f>
        <v>17</v>
      </c>
      <c r="J39" s="770">
        <f>SUM('Bv Act'!V38)</f>
        <v>0</v>
      </c>
      <c r="K39" s="757">
        <f t="shared" ref="K39:K48" si="69">SUM(I39+J39)/12</f>
        <v>1.4166666666666667</v>
      </c>
      <c r="L39" s="772">
        <f>'Bv Act'!E38</f>
        <v>0</v>
      </c>
      <c r="M39" s="695">
        <f t="shared" ref="M39:M48" si="70">L39/12</f>
        <v>0</v>
      </c>
      <c r="N39" s="776">
        <f>SUM('Bv Act'!X38)</f>
        <v>0</v>
      </c>
      <c r="O39" s="816">
        <f>SUM('Bv Act'!Y38)</f>
        <v>0</v>
      </c>
      <c r="P39" s="781">
        <f t="shared" ref="P39:P48" si="71">SUM(N39+O39)/24</f>
        <v>0</v>
      </c>
      <c r="Q39" s="776">
        <f>SUM('Bv Act'!Z38)</f>
        <v>187</v>
      </c>
      <c r="R39" s="777">
        <f>SUM('Bv Act'!AA38)</f>
        <v>0</v>
      </c>
      <c r="S39" s="778">
        <f>SUM('Bv Act'!AB38)</f>
        <v>0</v>
      </c>
      <c r="T39" s="757">
        <f t="shared" ref="T39:T48" si="72">SUM(Q39+R39+S39)/24</f>
        <v>7.791666666666667</v>
      </c>
      <c r="U39" s="687">
        <f t="shared" ref="U39:U48" si="73">SUM(I39+J39+N39+O39+Q39+R39+S39+L39)</f>
        <v>204</v>
      </c>
      <c r="V39" s="779">
        <f t="shared" ref="V39:V48" si="74">SUM(I39)*157</f>
        <v>2669</v>
      </c>
      <c r="W39" s="780">
        <f t="shared" ref="W39:W48" si="75">SUM(J39)*102</f>
        <v>0</v>
      </c>
      <c r="X39" s="690">
        <f t="shared" ref="X39:X48" si="76">L39*146</f>
        <v>0</v>
      </c>
      <c r="Y39" s="698">
        <f t="shared" ref="Y39:Y48" si="77">SUM(N39)*67</f>
        <v>0</v>
      </c>
      <c r="Z39" s="757">
        <f t="shared" ref="Z39:Z48" si="78">SUM(O39)*48</f>
        <v>0</v>
      </c>
      <c r="AA39" s="698">
        <f t="shared" ref="AA39:AA48" si="79">SUM(Q39)*46</f>
        <v>8602</v>
      </c>
      <c r="AB39" s="699">
        <f t="shared" ref="AB39:AB48" si="80">SUM(R39)*49</f>
        <v>0</v>
      </c>
      <c r="AC39" s="700">
        <f t="shared" ref="AC39:AC48" si="81">SUM(S39)*36.5</f>
        <v>0</v>
      </c>
      <c r="AD39" s="701">
        <f t="shared" ref="AD39:AD48" si="82">SUM(V39+W39+Y39+Z39+AA39+AB39+AC39+X39)</f>
        <v>11271</v>
      </c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</row>
    <row r="40" spans="1:66" s="50" customFormat="1" ht="15" x14ac:dyDescent="0.2">
      <c r="A40" s="1065"/>
      <c r="B40" s="818" t="s">
        <v>25</v>
      </c>
      <c r="C40" s="819" t="s">
        <v>26</v>
      </c>
      <c r="D40" s="894">
        <v>68</v>
      </c>
      <c r="E40" s="895">
        <v>21</v>
      </c>
      <c r="F40" s="895">
        <v>86</v>
      </c>
      <c r="G40" s="895">
        <v>470</v>
      </c>
      <c r="H40" s="835">
        <f t="shared" si="68"/>
        <v>645</v>
      </c>
      <c r="I40" s="785">
        <f>SUM('Bv Act'!U39)</f>
        <v>61</v>
      </c>
      <c r="J40" s="706">
        <f>SUM('Bv Act'!V39)</f>
        <v>0</v>
      </c>
      <c r="K40" s="820">
        <f t="shared" si="69"/>
        <v>5.083333333333333</v>
      </c>
      <c r="L40" s="708">
        <f>'Bv Act'!E39</f>
        <v>0</v>
      </c>
      <c r="M40" s="707">
        <f t="shared" si="70"/>
        <v>0</v>
      </c>
      <c r="N40" s="785">
        <f>SUM('Bv Act'!X39)</f>
        <v>112</v>
      </c>
      <c r="O40" s="706">
        <f>SUM('Bv Act'!Y39)</f>
        <v>0</v>
      </c>
      <c r="P40" s="711">
        <f t="shared" si="71"/>
        <v>4.666666666666667</v>
      </c>
      <c r="Q40" s="785">
        <f>SUM('Bv Act'!Z39)</f>
        <v>99</v>
      </c>
      <c r="R40" s="712">
        <f>SUM('Bv Act'!AA39)</f>
        <v>0</v>
      </c>
      <c r="S40" s="706">
        <f>SUM('Bv Act'!AB39)</f>
        <v>0</v>
      </c>
      <c r="T40" s="711">
        <f t="shared" si="72"/>
        <v>4.125</v>
      </c>
      <c r="U40" s="704">
        <f t="shared" si="73"/>
        <v>272</v>
      </c>
      <c r="V40" s="715">
        <f t="shared" si="74"/>
        <v>9577</v>
      </c>
      <c r="W40" s="717">
        <f t="shared" si="75"/>
        <v>0</v>
      </c>
      <c r="X40" s="711">
        <f t="shared" si="76"/>
        <v>0</v>
      </c>
      <c r="Y40" s="715">
        <f t="shared" si="77"/>
        <v>7504</v>
      </c>
      <c r="Z40" s="717">
        <f t="shared" si="78"/>
        <v>0</v>
      </c>
      <c r="AA40" s="715">
        <f t="shared" si="79"/>
        <v>4554</v>
      </c>
      <c r="AB40" s="716">
        <f t="shared" si="80"/>
        <v>0</v>
      </c>
      <c r="AC40" s="717">
        <f t="shared" si="81"/>
        <v>0</v>
      </c>
      <c r="AD40" s="718">
        <f t="shared" si="82"/>
        <v>21635</v>
      </c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</row>
    <row r="41" spans="1:66" s="50" customFormat="1" ht="15" x14ac:dyDescent="0.2">
      <c r="A41" s="1065"/>
      <c r="B41" s="818" t="s">
        <v>27</v>
      </c>
      <c r="C41" s="819" t="s">
        <v>254</v>
      </c>
      <c r="D41" s="894">
        <v>18</v>
      </c>
      <c r="E41" s="895">
        <v>0</v>
      </c>
      <c r="F41" s="895">
        <v>4</v>
      </c>
      <c r="G41" s="895">
        <v>467</v>
      </c>
      <c r="H41" s="835">
        <f t="shared" si="68"/>
        <v>489</v>
      </c>
      <c r="I41" s="785">
        <f>SUM('Bv Act'!U40)</f>
        <v>14</v>
      </c>
      <c r="J41" s="706">
        <f>SUM('Bv Act'!V40)</f>
        <v>0</v>
      </c>
      <c r="K41" s="820">
        <f t="shared" si="69"/>
        <v>1.1666666666666667</v>
      </c>
      <c r="L41" s="708">
        <f>'Bv Act'!E40</f>
        <v>0</v>
      </c>
      <c r="M41" s="707">
        <f t="shared" si="70"/>
        <v>0</v>
      </c>
      <c r="N41" s="785">
        <f>SUM('Bv Act'!X40)</f>
        <v>8</v>
      </c>
      <c r="O41" s="706">
        <f>SUM('Bv Act'!Y40)</f>
        <v>0</v>
      </c>
      <c r="P41" s="711">
        <f t="shared" si="71"/>
        <v>0.33333333333333331</v>
      </c>
      <c r="Q41" s="785">
        <f>SUM('Bv Act'!Z40)</f>
        <v>266</v>
      </c>
      <c r="R41" s="712">
        <f>SUM('Bv Act'!AA40)</f>
        <v>0</v>
      </c>
      <c r="S41" s="706">
        <f>SUM('Bv Act'!AB40)</f>
        <v>0</v>
      </c>
      <c r="T41" s="711">
        <f t="shared" si="72"/>
        <v>11.083333333333334</v>
      </c>
      <c r="U41" s="704">
        <f t="shared" si="73"/>
        <v>288</v>
      </c>
      <c r="V41" s="715">
        <f t="shared" si="74"/>
        <v>2198</v>
      </c>
      <c r="W41" s="717">
        <f t="shared" si="75"/>
        <v>0</v>
      </c>
      <c r="X41" s="711">
        <f t="shared" si="76"/>
        <v>0</v>
      </c>
      <c r="Y41" s="715">
        <f t="shared" si="77"/>
        <v>536</v>
      </c>
      <c r="Z41" s="717">
        <f t="shared" si="78"/>
        <v>0</v>
      </c>
      <c r="AA41" s="715">
        <f t="shared" si="79"/>
        <v>12236</v>
      </c>
      <c r="AB41" s="716">
        <f t="shared" si="80"/>
        <v>0</v>
      </c>
      <c r="AC41" s="717">
        <f t="shared" si="81"/>
        <v>0</v>
      </c>
      <c r="AD41" s="718">
        <f t="shared" si="82"/>
        <v>14970</v>
      </c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</row>
    <row r="42" spans="1:66" s="50" customFormat="1" ht="15" x14ac:dyDescent="0.2">
      <c r="A42" s="1065"/>
      <c r="B42" s="818" t="s">
        <v>28</v>
      </c>
      <c r="C42" s="819" t="s">
        <v>29</v>
      </c>
      <c r="D42" s="894">
        <v>28</v>
      </c>
      <c r="E42" s="895">
        <v>0</v>
      </c>
      <c r="F42" s="895">
        <v>0</v>
      </c>
      <c r="G42" s="895">
        <v>209</v>
      </c>
      <c r="H42" s="835">
        <f t="shared" si="68"/>
        <v>237</v>
      </c>
      <c r="I42" s="785">
        <f>SUM('Bv Act'!U41)</f>
        <v>19</v>
      </c>
      <c r="J42" s="706">
        <f>SUM('Bv Act'!V41)</f>
        <v>0</v>
      </c>
      <c r="K42" s="820">
        <f t="shared" si="69"/>
        <v>1.5833333333333333</v>
      </c>
      <c r="L42" s="708">
        <f>'Bv Act'!E41</f>
        <v>0</v>
      </c>
      <c r="M42" s="707">
        <f t="shared" si="70"/>
        <v>0</v>
      </c>
      <c r="N42" s="785">
        <f>SUM('Bv Act'!X41)</f>
        <v>0</v>
      </c>
      <c r="O42" s="706">
        <f>SUM('Bv Act'!Y41)</f>
        <v>0</v>
      </c>
      <c r="P42" s="711">
        <f t="shared" si="71"/>
        <v>0</v>
      </c>
      <c r="Q42" s="785">
        <f>SUM('Bv Act'!Z41)</f>
        <v>153</v>
      </c>
      <c r="R42" s="712">
        <f>SUM('Bv Act'!AA41)</f>
        <v>0</v>
      </c>
      <c r="S42" s="706">
        <f>SUM('Bv Act'!AB41)</f>
        <v>0</v>
      </c>
      <c r="T42" s="711">
        <f t="shared" si="72"/>
        <v>6.375</v>
      </c>
      <c r="U42" s="704">
        <f t="shared" si="73"/>
        <v>172</v>
      </c>
      <c r="V42" s="715">
        <f t="shared" si="74"/>
        <v>2983</v>
      </c>
      <c r="W42" s="717">
        <f t="shared" si="75"/>
        <v>0</v>
      </c>
      <c r="X42" s="711">
        <f t="shared" si="76"/>
        <v>0</v>
      </c>
      <c r="Y42" s="715">
        <f t="shared" si="77"/>
        <v>0</v>
      </c>
      <c r="Z42" s="717">
        <f t="shared" si="78"/>
        <v>0</v>
      </c>
      <c r="AA42" s="715">
        <f t="shared" si="79"/>
        <v>7038</v>
      </c>
      <c r="AB42" s="716">
        <f t="shared" si="80"/>
        <v>0</v>
      </c>
      <c r="AC42" s="717">
        <f t="shared" si="81"/>
        <v>0</v>
      </c>
      <c r="AD42" s="718">
        <f t="shared" si="82"/>
        <v>10021</v>
      </c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</row>
    <row r="43" spans="1:66" s="50" customFormat="1" ht="15" x14ac:dyDescent="0.2">
      <c r="A43" s="1065"/>
      <c r="B43" s="818" t="s">
        <v>30</v>
      </c>
      <c r="C43" s="819" t="s">
        <v>31</v>
      </c>
      <c r="D43" s="894">
        <v>64</v>
      </c>
      <c r="E43" s="895">
        <v>2</v>
      </c>
      <c r="F43" s="895">
        <v>92</v>
      </c>
      <c r="G43" s="895">
        <v>694</v>
      </c>
      <c r="H43" s="835">
        <f t="shared" si="68"/>
        <v>852</v>
      </c>
      <c r="I43" s="785">
        <f>SUM('Bv Act'!U42)</f>
        <v>58</v>
      </c>
      <c r="J43" s="706">
        <f>SUM('Bv Act'!V42)</f>
        <v>0</v>
      </c>
      <c r="K43" s="820">
        <f t="shared" si="69"/>
        <v>4.833333333333333</v>
      </c>
      <c r="L43" s="708">
        <f>'Bv Act'!E42</f>
        <v>0</v>
      </c>
      <c r="M43" s="707">
        <f t="shared" si="70"/>
        <v>0</v>
      </c>
      <c r="N43" s="785">
        <f>SUM('Bv Act'!X42)</f>
        <v>104</v>
      </c>
      <c r="O43" s="706">
        <f>SUM('Bv Act'!Y42)</f>
        <v>0</v>
      </c>
      <c r="P43" s="711">
        <f t="shared" si="71"/>
        <v>4.333333333333333</v>
      </c>
      <c r="Q43" s="785">
        <f>SUM('Bv Act'!Z42)</f>
        <v>278</v>
      </c>
      <c r="R43" s="712">
        <f>SUM('Bv Act'!AA42)</f>
        <v>0</v>
      </c>
      <c r="S43" s="706">
        <f>SUM('Bv Act'!AB42)</f>
        <v>0</v>
      </c>
      <c r="T43" s="711">
        <f t="shared" si="72"/>
        <v>11.583333333333334</v>
      </c>
      <c r="U43" s="704">
        <f t="shared" si="73"/>
        <v>440</v>
      </c>
      <c r="V43" s="715">
        <f t="shared" si="74"/>
        <v>9106</v>
      </c>
      <c r="W43" s="717">
        <f t="shared" si="75"/>
        <v>0</v>
      </c>
      <c r="X43" s="711">
        <f t="shared" si="76"/>
        <v>0</v>
      </c>
      <c r="Y43" s="715">
        <f t="shared" si="77"/>
        <v>6968</v>
      </c>
      <c r="Z43" s="717">
        <f t="shared" si="78"/>
        <v>0</v>
      </c>
      <c r="AA43" s="715">
        <f t="shared" si="79"/>
        <v>12788</v>
      </c>
      <c r="AB43" s="716">
        <f t="shared" si="80"/>
        <v>0</v>
      </c>
      <c r="AC43" s="717">
        <f t="shared" si="81"/>
        <v>0</v>
      </c>
      <c r="AD43" s="718">
        <f t="shared" si="82"/>
        <v>28862</v>
      </c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</row>
    <row r="44" spans="1:66" s="50" customFormat="1" ht="15" x14ac:dyDescent="0.2">
      <c r="A44" s="1065"/>
      <c r="B44" s="818" t="s">
        <v>32</v>
      </c>
      <c r="C44" s="819" t="s">
        <v>243</v>
      </c>
      <c r="D44" s="894">
        <v>54</v>
      </c>
      <c r="E44" s="895">
        <v>4</v>
      </c>
      <c r="F44" s="895">
        <v>52</v>
      </c>
      <c r="G44" s="895">
        <v>525</v>
      </c>
      <c r="H44" s="835">
        <f t="shared" si="68"/>
        <v>635</v>
      </c>
      <c r="I44" s="785">
        <f>SUM('Bv Act'!U43)</f>
        <v>48</v>
      </c>
      <c r="J44" s="706">
        <f>SUM('Bv Act'!V43)</f>
        <v>0</v>
      </c>
      <c r="K44" s="820">
        <f t="shared" si="69"/>
        <v>4</v>
      </c>
      <c r="L44" s="708">
        <f>'Bv Act'!E43</f>
        <v>0</v>
      </c>
      <c r="M44" s="707">
        <f t="shared" si="70"/>
        <v>0</v>
      </c>
      <c r="N44" s="785">
        <f>SUM('Bv Act'!X43)</f>
        <v>84</v>
      </c>
      <c r="O44" s="706">
        <f>SUM('Bv Act'!Y43)</f>
        <v>0</v>
      </c>
      <c r="P44" s="711">
        <f t="shared" si="71"/>
        <v>3.5</v>
      </c>
      <c r="Q44" s="785">
        <f>SUM('Bv Act'!Z43)</f>
        <v>139</v>
      </c>
      <c r="R44" s="712">
        <f>SUM('Bv Act'!AA43)</f>
        <v>0</v>
      </c>
      <c r="S44" s="706">
        <f>SUM('Bv Act'!AB43)</f>
        <v>0</v>
      </c>
      <c r="T44" s="711">
        <f t="shared" si="72"/>
        <v>5.791666666666667</v>
      </c>
      <c r="U44" s="704">
        <f t="shared" si="73"/>
        <v>271</v>
      </c>
      <c r="V44" s="715">
        <f t="shared" si="74"/>
        <v>7536</v>
      </c>
      <c r="W44" s="717">
        <f t="shared" si="75"/>
        <v>0</v>
      </c>
      <c r="X44" s="711">
        <f t="shared" si="76"/>
        <v>0</v>
      </c>
      <c r="Y44" s="715">
        <f t="shared" si="77"/>
        <v>5628</v>
      </c>
      <c r="Z44" s="717">
        <f t="shared" si="78"/>
        <v>0</v>
      </c>
      <c r="AA44" s="715">
        <f t="shared" si="79"/>
        <v>6394</v>
      </c>
      <c r="AB44" s="716">
        <f t="shared" si="80"/>
        <v>0</v>
      </c>
      <c r="AC44" s="717">
        <f t="shared" si="81"/>
        <v>0</v>
      </c>
      <c r="AD44" s="718">
        <f t="shared" si="82"/>
        <v>19558</v>
      </c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</row>
    <row r="45" spans="1:66" s="50" customFormat="1" ht="15" x14ac:dyDescent="0.2">
      <c r="A45" s="1065"/>
      <c r="B45" s="818" t="s">
        <v>160</v>
      </c>
      <c r="C45" s="819" t="s">
        <v>244</v>
      </c>
      <c r="D45" s="894">
        <v>48</v>
      </c>
      <c r="E45" s="895">
        <v>0</v>
      </c>
      <c r="F45" s="895">
        <v>24</v>
      </c>
      <c r="G45" s="895">
        <v>638</v>
      </c>
      <c r="H45" s="835">
        <f t="shared" si="68"/>
        <v>710</v>
      </c>
      <c r="I45" s="785">
        <f>SUM('Bv Act'!U44)</f>
        <v>42</v>
      </c>
      <c r="J45" s="706">
        <f>SUM('Bv Act'!V44)</f>
        <v>0</v>
      </c>
      <c r="K45" s="820">
        <f t="shared" si="69"/>
        <v>3.5</v>
      </c>
      <c r="L45" s="708">
        <f>'Bv Act'!E44</f>
        <v>0</v>
      </c>
      <c r="M45" s="707">
        <f t="shared" si="70"/>
        <v>0</v>
      </c>
      <c r="N45" s="785">
        <f>SUM('Bv Act'!X44)</f>
        <v>16</v>
      </c>
      <c r="O45" s="706">
        <f>SUM('Bv Act'!Y44)</f>
        <v>0</v>
      </c>
      <c r="P45" s="711">
        <f t="shared" si="71"/>
        <v>0.66666666666666663</v>
      </c>
      <c r="Q45" s="785">
        <f>SUM('Bv Act'!Z44)</f>
        <v>162</v>
      </c>
      <c r="R45" s="712">
        <f>SUM('Bv Act'!AA44)</f>
        <v>0</v>
      </c>
      <c r="S45" s="706">
        <f>SUM('Bv Act'!AB44)</f>
        <v>0</v>
      </c>
      <c r="T45" s="711">
        <f t="shared" si="72"/>
        <v>6.75</v>
      </c>
      <c r="U45" s="704">
        <f t="shared" si="73"/>
        <v>220</v>
      </c>
      <c r="V45" s="715">
        <f t="shared" si="74"/>
        <v>6594</v>
      </c>
      <c r="W45" s="717">
        <f t="shared" si="75"/>
        <v>0</v>
      </c>
      <c r="X45" s="711">
        <f t="shared" si="76"/>
        <v>0</v>
      </c>
      <c r="Y45" s="715">
        <f t="shared" si="77"/>
        <v>1072</v>
      </c>
      <c r="Z45" s="717">
        <f t="shared" si="78"/>
        <v>0</v>
      </c>
      <c r="AA45" s="715">
        <f t="shared" si="79"/>
        <v>7452</v>
      </c>
      <c r="AB45" s="716">
        <f t="shared" si="80"/>
        <v>0</v>
      </c>
      <c r="AC45" s="717">
        <f t="shared" si="81"/>
        <v>0</v>
      </c>
      <c r="AD45" s="718">
        <f t="shared" si="82"/>
        <v>15118</v>
      </c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</row>
    <row r="46" spans="1:66" s="50" customFormat="1" ht="15" x14ac:dyDescent="0.2">
      <c r="A46" s="1065"/>
      <c r="B46" s="818" t="s">
        <v>161</v>
      </c>
      <c r="C46" s="818" t="s">
        <v>36</v>
      </c>
      <c r="D46" s="894">
        <v>364</v>
      </c>
      <c r="E46" s="895">
        <v>4</v>
      </c>
      <c r="F46" s="895">
        <v>10</v>
      </c>
      <c r="G46" s="895">
        <v>707</v>
      </c>
      <c r="H46" s="835">
        <f t="shared" si="68"/>
        <v>1085</v>
      </c>
      <c r="I46" s="785">
        <f>SUM('Bv Act'!U45)</f>
        <v>341</v>
      </c>
      <c r="J46" s="706">
        <f>SUM('Bv Act'!V45)</f>
        <v>0</v>
      </c>
      <c r="K46" s="820">
        <f t="shared" si="69"/>
        <v>28.416666666666668</v>
      </c>
      <c r="L46" s="708">
        <f>'Bv Act'!E45</f>
        <v>0</v>
      </c>
      <c r="M46" s="707">
        <f t="shared" si="70"/>
        <v>0</v>
      </c>
      <c r="N46" s="785">
        <f>SUM('Bv Act'!X45)</f>
        <v>8</v>
      </c>
      <c r="O46" s="706">
        <f>SUM('Bv Act'!Y45)</f>
        <v>0</v>
      </c>
      <c r="P46" s="711">
        <f t="shared" si="71"/>
        <v>0.33333333333333331</v>
      </c>
      <c r="Q46" s="785">
        <f>SUM('Bv Act'!Z45)</f>
        <v>354</v>
      </c>
      <c r="R46" s="712">
        <f>SUM('Bv Act'!AA45)</f>
        <v>0</v>
      </c>
      <c r="S46" s="706">
        <f>SUM('Bv Act'!AB45)</f>
        <v>0</v>
      </c>
      <c r="T46" s="711">
        <f t="shared" si="72"/>
        <v>14.75</v>
      </c>
      <c r="U46" s="704">
        <f t="shared" si="73"/>
        <v>703</v>
      </c>
      <c r="V46" s="715">
        <f t="shared" si="74"/>
        <v>53537</v>
      </c>
      <c r="W46" s="717">
        <f t="shared" si="75"/>
        <v>0</v>
      </c>
      <c r="X46" s="711">
        <f t="shared" si="76"/>
        <v>0</v>
      </c>
      <c r="Y46" s="715">
        <f t="shared" si="77"/>
        <v>536</v>
      </c>
      <c r="Z46" s="717">
        <f t="shared" si="78"/>
        <v>0</v>
      </c>
      <c r="AA46" s="715">
        <f t="shared" si="79"/>
        <v>16284</v>
      </c>
      <c r="AB46" s="716">
        <f t="shared" si="80"/>
        <v>0</v>
      </c>
      <c r="AC46" s="717">
        <f t="shared" si="81"/>
        <v>0</v>
      </c>
      <c r="AD46" s="718">
        <f t="shared" si="82"/>
        <v>70357</v>
      </c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</row>
    <row r="47" spans="1:66" s="50" customFormat="1" ht="15" x14ac:dyDescent="0.2">
      <c r="A47" s="1065"/>
      <c r="B47" s="818" t="s">
        <v>33</v>
      </c>
      <c r="C47" s="819" t="s">
        <v>34</v>
      </c>
      <c r="D47" s="894">
        <v>120</v>
      </c>
      <c r="E47" s="895">
        <v>0</v>
      </c>
      <c r="F47" s="895">
        <v>55</v>
      </c>
      <c r="G47" s="895">
        <v>670</v>
      </c>
      <c r="H47" s="835">
        <f t="shared" si="68"/>
        <v>845</v>
      </c>
      <c r="I47" s="785">
        <f>SUM('Bv Act'!U46)</f>
        <v>77</v>
      </c>
      <c r="J47" s="706">
        <f>SUM('Bv Act'!V46)</f>
        <v>0</v>
      </c>
      <c r="K47" s="820">
        <f t="shared" si="69"/>
        <v>6.416666666666667</v>
      </c>
      <c r="L47" s="708">
        <f>'Bv Act'!E46</f>
        <v>0</v>
      </c>
      <c r="M47" s="707">
        <f t="shared" si="70"/>
        <v>0</v>
      </c>
      <c r="N47" s="785">
        <f>SUM('Bv Act'!X46)</f>
        <v>100</v>
      </c>
      <c r="O47" s="706">
        <f>SUM('Bv Act'!Y46)</f>
        <v>0</v>
      </c>
      <c r="P47" s="711">
        <f t="shared" si="71"/>
        <v>4.166666666666667</v>
      </c>
      <c r="Q47" s="785">
        <f>SUM('Bv Act'!Z46)</f>
        <v>322</v>
      </c>
      <c r="R47" s="712">
        <f>SUM('Bv Act'!AA46)</f>
        <v>0</v>
      </c>
      <c r="S47" s="706">
        <f>SUM('Bv Act'!AB46)</f>
        <v>0</v>
      </c>
      <c r="T47" s="711">
        <f t="shared" si="72"/>
        <v>13.416666666666666</v>
      </c>
      <c r="U47" s="704">
        <f t="shared" si="73"/>
        <v>499</v>
      </c>
      <c r="V47" s="715">
        <f t="shared" si="74"/>
        <v>12089</v>
      </c>
      <c r="W47" s="717">
        <f t="shared" si="75"/>
        <v>0</v>
      </c>
      <c r="X47" s="711">
        <f t="shared" si="76"/>
        <v>0</v>
      </c>
      <c r="Y47" s="715">
        <f t="shared" si="77"/>
        <v>6700</v>
      </c>
      <c r="Z47" s="717">
        <f t="shared" si="78"/>
        <v>0</v>
      </c>
      <c r="AA47" s="715">
        <f t="shared" si="79"/>
        <v>14812</v>
      </c>
      <c r="AB47" s="716">
        <f t="shared" si="80"/>
        <v>0</v>
      </c>
      <c r="AC47" s="717">
        <f t="shared" si="81"/>
        <v>0</v>
      </c>
      <c r="AD47" s="718">
        <f t="shared" si="82"/>
        <v>33601</v>
      </c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</row>
    <row r="48" spans="1:66" s="50" customFormat="1" ht="15.75" thickBot="1" x14ac:dyDescent="0.25">
      <c r="A48" s="1066"/>
      <c r="B48" s="827" t="s">
        <v>221</v>
      </c>
      <c r="C48" s="826" t="s">
        <v>255</v>
      </c>
      <c r="D48" s="900">
        <v>113</v>
      </c>
      <c r="E48" s="901">
        <v>0</v>
      </c>
      <c r="F48" s="901">
        <v>125</v>
      </c>
      <c r="G48" s="901">
        <v>393</v>
      </c>
      <c r="H48" s="836">
        <f t="shared" si="68"/>
        <v>631</v>
      </c>
      <c r="I48" s="837">
        <f>SUM('Bv Act'!U47)</f>
        <v>106</v>
      </c>
      <c r="J48" s="722">
        <f>SUM('Bv Act'!V47)</f>
        <v>0</v>
      </c>
      <c r="K48" s="808">
        <f t="shared" si="69"/>
        <v>8.8333333333333339</v>
      </c>
      <c r="L48" s="838">
        <f>'Bv Act'!E47</f>
        <v>0</v>
      </c>
      <c r="M48" s="839">
        <f t="shared" si="70"/>
        <v>0</v>
      </c>
      <c r="N48" s="805">
        <f>SUM('Bv Act'!X47)</f>
        <v>100</v>
      </c>
      <c r="O48" s="726">
        <f>SUM('Bv Act'!Y47)</f>
        <v>0</v>
      </c>
      <c r="P48" s="807">
        <f t="shared" si="71"/>
        <v>4.166666666666667</v>
      </c>
      <c r="Q48" s="805">
        <f>SUM('Bv Act'!Z47)</f>
        <v>118</v>
      </c>
      <c r="R48" s="727">
        <f>SUM('Bv Act'!AA47)</f>
        <v>0</v>
      </c>
      <c r="S48" s="806">
        <f>SUM('Bv Act'!AB47)</f>
        <v>0</v>
      </c>
      <c r="T48" s="808">
        <f t="shared" si="72"/>
        <v>4.916666666666667</v>
      </c>
      <c r="U48" s="728">
        <f t="shared" si="73"/>
        <v>324</v>
      </c>
      <c r="V48" s="732">
        <f t="shared" si="74"/>
        <v>16642</v>
      </c>
      <c r="W48" s="730">
        <f t="shared" si="75"/>
        <v>0</v>
      </c>
      <c r="X48" s="711">
        <f t="shared" si="76"/>
        <v>0</v>
      </c>
      <c r="Y48" s="732">
        <f t="shared" si="77"/>
        <v>6700</v>
      </c>
      <c r="Z48" s="734">
        <f t="shared" si="78"/>
        <v>0</v>
      </c>
      <c r="AA48" s="732">
        <f t="shared" si="79"/>
        <v>5428</v>
      </c>
      <c r="AB48" s="733">
        <f t="shared" si="80"/>
        <v>0</v>
      </c>
      <c r="AC48" s="734">
        <f t="shared" si="81"/>
        <v>0</v>
      </c>
      <c r="AD48" s="735">
        <f t="shared" si="82"/>
        <v>28770</v>
      </c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</row>
    <row r="49" spans="1:66" s="50" customFormat="1" ht="13.5" customHeight="1" thickBot="1" x14ac:dyDescent="0.25">
      <c r="A49" s="668"/>
      <c r="B49" s="736"/>
      <c r="C49" s="737" t="s">
        <v>80</v>
      </c>
      <c r="D49" s="809">
        <f>SUM(D39:D48)</f>
        <v>907</v>
      </c>
      <c r="E49" s="809">
        <f>SUM(E39:E48)</f>
        <v>31</v>
      </c>
      <c r="F49" s="809">
        <f>SUM(F39:F48)</f>
        <v>448</v>
      </c>
      <c r="G49" s="809">
        <f>SUM(G39:G48)</f>
        <v>5266</v>
      </c>
      <c r="H49" s="739">
        <f t="shared" ref="H49:I49" si="83">SUM(H39:H48)</f>
        <v>6652</v>
      </c>
      <c r="I49" s="739">
        <f t="shared" si="83"/>
        <v>783</v>
      </c>
      <c r="J49" s="811">
        <f t="shared" ref="J49:AC49" si="84">SUM(J39:J48)</f>
        <v>0</v>
      </c>
      <c r="K49" s="744">
        <f t="shared" si="84"/>
        <v>65.25</v>
      </c>
      <c r="L49" s="744">
        <f t="shared" si="84"/>
        <v>0</v>
      </c>
      <c r="M49" s="744">
        <f t="shared" si="84"/>
        <v>0</v>
      </c>
      <c r="N49" s="739">
        <f t="shared" si="84"/>
        <v>532</v>
      </c>
      <c r="O49" s="828">
        <f t="shared" si="84"/>
        <v>0</v>
      </c>
      <c r="P49" s="744">
        <f t="shared" si="84"/>
        <v>22.166666666666668</v>
      </c>
      <c r="Q49" s="739">
        <f t="shared" si="84"/>
        <v>2078</v>
      </c>
      <c r="R49" s="745">
        <f t="shared" si="84"/>
        <v>0</v>
      </c>
      <c r="S49" s="746">
        <f t="shared" si="84"/>
        <v>0</v>
      </c>
      <c r="T49" s="744">
        <f t="shared" si="84"/>
        <v>86.583333333333343</v>
      </c>
      <c r="U49" s="739">
        <f>SUM(U39:U48)</f>
        <v>3393</v>
      </c>
      <c r="V49" s="744">
        <f t="shared" si="84"/>
        <v>122931</v>
      </c>
      <c r="W49" s="749">
        <f t="shared" si="84"/>
        <v>0</v>
      </c>
      <c r="X49" s="747">
        <f t="shared" si="84"/>
        <v>0</v>
      </c>
      <c r="Y49" s="744">
        <f t="shared" si="84"/>
        <v>35644</v>
      </c>
      <c r="Z49" s="811">
        <f t="shared" si="84"/>
        <v>0</v>
      </c>
      <c r="AA49" s="750">
        <f t="shared" si="84"/>
        <v>95588</v>
      </c>
      <c r="AB49" s="751">
        <f t="shared" si="84"/>
        <v>0</v>
      </c>
      <c r="AC49" s="811">
        <f t="shared" si="84"/>
        <v>0</v>
      </c>
      <c r="AD49" s="744">
        <f>SUM(AD39:AD48)</f>
        <v>254163</v>
      </c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</row>
    <row r="50" spans="1:66" s="111" customFormat="1" ht="15.75" thickBot="1" x14ac:dyDescent="0.25">
      <c r="B50" s="753"/>
      <c r="C50" s="753"/>
      <c r="D50" s="830"/>
      <c r="E50" s="830"/>
      <c r="F50" s="830"/>
      <c r="G50" s="830"/>
      <c r="H50" s="831"/>
      <c r="I50" s="832"/>
      <c r="J50" s="169"/>
      <c r="K50" s="169"/>
      <c r="L50" s="169"/>
      <c r="M50" s="169"/>
      <c r="N50" s="832"/>
      <c r="O50" s="832"/>
      <c r="P50" s="169"/>
      <c r="Q50" s="832"/>
      <c r="R50" s="832"/>
      <c r="S50" s="832"/>
      <c r="T50" s="169"/>
      <c r="U50" s="833"/>
      <c r="V50" s="169"/>
      <c r="W50" s="169"/>
      <c r="X50" s="169"/>
      <c r="Y50" s="169"/>
      <c r="Z50" s="169"/>
      <c r="AA50" s="169"/>
      <c r="AB50" s="169"/>
      <c r="AC50" s="169"/>
      <c r="AD50" s="137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  <c r="BK50" s="112"/>
      <c r="BL50" s="112"/>
      <c r="BM50" s="112"/>
      <c r="BN50" s="112"/>
    </row>
    <row r="51" spans="1:66" s="113" customFormat="1" ht="15" x14ac:dyDescent="0.2">
      <c r="A51" s="1064" t="s">
        <v>44</v>
      </c>
      <c r="B51" s="813" t="s">
        <v>37</v>
      </c>
      <c r="C51" s="814" t="s">
        <v>38</v>
      </c>
      <c r="D51" s="903">
        <v>9</v>
      </c>
      <c r="E51" s="904">
        <v>10</v>
      </c>
      <c r="F51" s="904">
        <v>73</v>
      </c>
      <c r="G51" s="904">
        <v>848</v>
      </c>
      <c r="H51" s="840">
        <f t="shared" ref="H51:H56" si="85">SUM(D51:G51)</f>
        <v>940</v>
      </c>
      <c r="I51" s="815">
        <f>SUM('Bv Act'!U50)</f>
        <v>8</v>
      </c>
      <c r="J51" s="770">
        <f>SUM('Bv Act'!V50)</f>
        <v>0</v>
      </c>
      <c r="K51" s="757">
        <f t="shared" ref="K51:K56" si="86">SUM(I51+J51)/12</f>
        <v>0.66666666666666663</v>
      </c>
      <c r="L51" s="772">
        <f>'Bv Act'!E50</f>
        <v>0</v>
      </c>
      <c r="M51" s="695">
        <f t="shared" ref="M51:M56" si="87">L51/12</f>
        <v>0</v>
      </c>
      <c r="N51" s="776">
        <f>SUM('Bv Act'!X50)</f>
        <v>34</v>
      </c>
      <c r="O51" s="816">
        <f>SUM('Bv Act'!Y50)</f>
        <v>0</v>
      </c>
      <c r="P51" s="781">
        <f t="shared" ref="P51:P56" si="88">SUM(N51+O51)/24</f>
        <v>1.4166666666666667</v>
      </c>
      <c r="Q51" s="776">
        <f>SUM('Bv Act'!Z50)</f>
        <v>326</v>
      </c>
      <c r="R51" s="777">
        <f>SUM('Bv Act'!AA50)</f>
        <v>0</v>
      </c>
      <c r="S51" s="816">
        <f>SUM('Bv Act'!AB50)</f>
        <v>0</v>
      </c>
      <c r="T51" s="771">
        <f t="shared" ref="T51:T56" si="89">SUM(Q51+R51+S51)/24</f>
        <v>13.583333333333334</v>
      </c>
      <c r="U51" s="687">
        <f t="shared" ref="U51:U56" si="90">SUM(I51+J51+N51+O51+Q51+R51+S51+L51)</f>
        <v>368</v>
      </c>
      <c r="V51" s="779">
        <f t="shared" ref="V51:V56" si="91">SUM(I51)*157</f>
        <v>1256</v>
      </c>
      <c r="W51" s="780">
        <f t="shared" ref="W51:W56" si="92">SUM(J51)*102</f>
        <v>0</v>
      </c>
      <c r="X51" s="690">
        <f t="shared" ref="X51:X56" si="93">L51*146</f>
        <v>0</v>
      </c>
      <c r="Y51" s="779">
        <f t="shared" ref="Y51:Y56" si="94">SUM(N51)*67</f>
        <v>2278</v>
      </c>
      <c r="Z51" s="841">
        <f t="shared" ref="Z51:Z56" si="95">SUM(O51)*48</f>
        <v>0</v>
      </c>
      <c r="AA51" s="698">
        <f t="shared" ref="AA51:AA56" si="96">SUM(Q51)*46</f>
        <v>14996</v>
      </c>
      <c r="AB51" s="699">
        <f t="shared" ref="AB51:AB56" si="97">SUM(R51)*49</f>
        <v>0</v>
      </c>
      <c r="AC51" s="700">
        <f t="shared" ref="AC51:AC56" si="98">SUM(S51)*36.5</f>
        <v>0</v>
      </c>
      <c r="AD51" s="701">
        <f t="shared" ref="AD51:AD56" si="99">SUM(V51+W51+Y51+Z51+AA51+AB51+AC51+X51)</f>
        <v>18530</v>
      </c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</row>
    <row r="52" spans="1:66" s="50" customFormat="1" ht="15" customHeight="1" x14ac:dyDescent="0.2">
      <c r="A52" s="1065"/>
      <c r="B52" s="818" t="s">
        <v>39</v>
      </c>
      <c r="C52" s="819" t="s">
        <v>301</v>
      </c>
      <c r="D52" s="894">
        <f>33+12</f>
        <v>45</v>
      </c>
      <c r="E52" s="895">
        <v>0</v>
      </c>
      <c r="F52" s="895">
        <f>14+8</f>
        <v>22</v>
      </c>
      <c r="G52" s="895">
        <f>620+485</f>
        <v>1105</v>
      </c>
      <c r="H52" s="835">
        <f t="shared" si="85"/>
        <v>1172</v>
      </c>
      <c r="I52" s="785">
        <f>SUM('Bv Act'!U51)</f>
        <v>34</v>
      </c>
      <c r="J52" s="706">
        <f>SUM('Bv Act'!V51)</f>
        <v>0</v>
      </c>
      <c r="K52" s="820">
        <f t="shared" si="86"/>
        <v>2.8333333333333335</v>
      </c>
      <c r="L52" s="708">
        <f>'Bv Act'!E51</f>
        <v>0</v>
      </c>
      <c r="M52" s="707">
        <f t="shared" si="87"/>
        <v>0</v>
      </c>
      <c r="N52" s="785">
        <f>SUM('Bv Act'!X51)</f>
        <v>0</v>
      </c>
      <c r="O52" s="706">
        <f>SUM('Bv Act'!Y51)</f>
        <v>22</v>
      </c>
      <c r="P52" s="711">
        <f t="shared" si="88"/>
        <v>0.91666666666666663</v>
      </c>
      <c r="Q52" s="785">
        <f>SUM('Bv Act'!Z51)</f>
        <v>265</v>
      </c>
      <c r="R52" s="712">
        <f>SUM('Bv Act'!AA51)</f>
        <v>6</v>
      </c>
      <c r="S52" s="710">
        <f>SUM('Bv Act'!AB51)</f>
        <v>21</v>
      </c>
      <c r="T52" s="711">
        <f t="shared" si="89"/>
        <v>12.166666666666666</v>
      </c>
      <c r="U52" s="704">
        <f t="shared" si="90"/>
        <v>348</v>
      </c>
      <c r="V52" s="715">
        <f t="shared" si="91"/>
        <v>5338</v>
      </c>
      <c r="W52" s="717">
        <f t="shared" si="92"/>
        <v>0</v>
      </c>
      <c r="X52" s="711">
        <f t="shared" si="93"/>
        <v>0</v>
      </c>
      <c r="Y52" s="715">
        <f t="shared" si="94"/>
        <v>0</v>
      </c>
      <c r="Z52" s="717">
        <f t="shared" si="95"/>
        <v>1056</v>
      </c>
      <c r="AA52" s="715">
        <f t="shared" si="96"/>
        <v>12190</v>
      </c>
      <c r="AB52" s="716">
        <f t="shared" si="97"/>
        <v>294</v>
      </c>
      <c r="AC52" s="717">
        <f t="shared" si="98"/>
        <v>766.5</v>
      </c>
      <c r="AD52" s="718">
        <f t="shared" si="99"/>
        <v>19644.5</v>
      </c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</row>
    <row r="53" spans="1:66" s="50" customFormat="1" ht="15" customHeight="1" x14ac:dyDescent="0.2">
      <c r="A53" s="1065"/>
      <c r="B53" s="818" t="s">
        <v>40</v>
      </c>
      <c r="C53" s="819" t="s">
        <v>41</v>
      </c>
      <c r="D53" s="894">
        <v>33</v>
      </c>
      <c r="E53" s="895">
        <v>2</v>
      </c>
      <c r="F53" s="895">
        <v>5</v>
      </c>
      <c r="G53" s="895">
        <v>652</v>
      </c>
      <c r="H53" s="835">
        <f t="shared" si="85"/>
        <v>692</v>
      </c>
      <c r="I53" s="785">
        <f>SUM('Bv Act'!U52)</f>
        <v>20</v>
      </c>
      <c r="J53" s="706">
        <f>SUM('Bv Act'!V52)</f>
        <v>0</v>
      </c>
      <c r="K53" s="820">
        <f t="shared" si="86"/>
        <v>1.6666666666666667</v>
      </c>
      <c r="L53" s="708">
        <f>'Bv Act'!E52</f>
        <v>0</v>
      </c>
      <c r="M53" s="707">
        <f t="shared" si="87"/>
        <v>0</v>
      </c>
      <c r="N53" s="785">
        <f>SUM('Bv Act'!X52)</f>
        <v>4</v>
      </c>
      <c r="O53" s="706">
        <f>SUM('Bv Act'!Y52)</f>
        <v>2</v>
      </c>
      <c r="P53" s="711">
        <f t="shared" si="88"/>
        <v>0.25</v>
      </c>
      <c r="Q53" s="785">
        <f>SUM('Bv Act'!Z52)</f>
        <v>188</v>
      </c>
      <c r="R53" s="712">
        <f>SUM('Bv Act'!AA52)</f>
        <v>5</v>
      </c>
      <c r="S53" s="710">
        <f>SUM('Bv Act'!AB52)</f>
        <v>15</v>
      </c>
      <c r="T53" s="711">
        <f t="shared" si="89"/>
        <v>8.6666666666666661</v>
      </c>
      <c r="U53" s="704">
        <f t="shared" si="90"/>
        <v>234</v>
      </c>
      <c r="V53" s="715">
        <f t="shared" si="91"/>
        <v>3140</v>
      </c>
      <c r="W53" s="717">
        <f t="shared" si="92"/>
        <v>0</v>
      </c>
      <c r="X53" s="711">
        <f t="shared" si="93"/>
        <v>0</v>
      </c>
      <c r="Y53" s="715">
        <f t="shared" si="94"/>
        <v>268</v>
      </c>
      <c r="Z53" s="717">
        <f t="shared" si="95"/>
        <v>96</v>
      </c>
      <c r="AA53" s="715">
        <f t="shared" si="96"/>
        <v>8648</v>
      </c>
      <c r="AB53" s="716">
        <f t="shared" si="97"/>
        <v>245</v>
      </c>
      <c r="AC53" s="717">
        <f t="shared" si="98"/>
        <v>547.5</v>
      </c>
      <c r="AD53" s="718">
        <f t="shared" si="99"/>
        <v>12944.5</v>
      </c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</row>
    <row r="54" spans="1:66" s="50" customFormat="1" ht="15" customHeight="1" x14ac:dyDescent="0.2">
      <c r="A54" s="1065"/>
      <c r="B54" s="818" t="s">
        <v>42</v>
      </c>
      <c r="C54" s="819" t="s">
        <v>295</v>
      </c>
      <c r="D54" s="894">
        <v>40</v>
      </c>
      <c r="E54" s="895">
        <v>10</v>
      </c>
      <c r="F54" s="895">
        <v>10</v>
      </c>
      <c r="G54" s="895">
        <v>1135</v>
      </c>
      <c r="H54" s="835">
        <f t="shared" si="85"/>
        <v>1195</v>
      </c>
      <c r="I54" s="785">
        <f>SUM('Bv Act'!U53)</f>
        <v>38</v>
      </c>
      <c r="J54" s="706">
        <f>SUM('Bv Act'!V53)</f>
        <v>0</v>
      </c>
      <c r="K54" s="820">
        <f t="shared" si="86"/>
        <v>3.1666666666666665</v>
      </c>
      <c r="L54" s="708">
        <f>'Bv Act'!E53</f>
        <v>0</v>
      </c>
      <c r="M54" s="707">
        <f t="shared" si="87"/>
        <v>0</v>
      </c>
      <c r="N54" s="785">
        <f>SUM('Bv Act'!X53)</f>
        <v>13</v>
      </c>
      <c r="O54" s="706">
        <f>SUM('Bv Act'!Y53)</f>
        <v>0</v>
      </c>
      <c r="P54" s="711">
        <f t="shared" si="88"/>
        <v>0.54166666666666663</v>
      </c>
      <c r="Q54" s="785">
        <f>SUM('Bv Act'!Z53)</f>
        <v>366</v>
      </c>
      <c r="R54" s="712">
        <f>SUM('Bv Act'!AA53)</f>
        <v>1</v>
      </c>
      <c r="S54" s="710">
        <f>SUM('Bv Act'!AB53)</f>
        <v>41</v>
      </c>
      <c r="T54" s="711">
        <f t="shared" si="89"/>
        <v>17</v>
      </c>
      <c r="U54" s="704">
        <f t="shared" si="90"/>
        <v>459</v>
      </c>
      <c r="V54" s="715">
        <f t="shared" si="91"/>
        <v>5966</v>
      </c>
      <c r="W54" s="717">
        <f t="shared" si="92"/>
        <v>0</v>
      </c>
      <c r="X54" s="711">
        <f t="shared" si="93"/>
        <v>0</v>
      </c>
      <c r="Y54" s="715">
        <f t="shared" si="94"/>
        <v>871</v>
      </c>
      <c r="Z54" s="717">
        <f t="shared" si="95"/>
        <v>0</v>
      </c>
      <c r="AA54" s="715">
        <f t="shared" si="96"/>
        <v>16836</v>
      </c>
      <c r="AB54" s="716">
        <f t="shared" si="97"/>
        <v>49</v>
      </c>
      <c r="AC54" s="717">
        <f t="shared" si="98"/>
        <v>1496.5</v>
      </c>
      <c r="AD54" s="718">
        <f t="shared" si="99"/>
        <v>25218.5</v>
      </c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</row>
    <row r="55" spans="1:66" s="50" customFormat="1" ht="15" customHeight="1" x14ac:dyDescent="0.2">
      <c r="A55" s="1065"/>
      <c r="B55" s="818" t="s">
        <v>229</v>
      </c>
      <c r="C55" s="826" t="s">
        <v>257</v>
      </c>
      <c r="D55" s="894">
        <v>29</v>
      </c>
      <c r="E55" s="895">
        <v>3</v>
      </c>
      <c r="F55" s="895">
        <v>47</v>
      </c>
      <c r="G55" s="895">
        <v>610</v>
      </c>
      <c r="H55" s="835">
        <f t="shared" ref="H55" si="100">SUM(D55:G55)</f>
        <v>689</v>
      </c>
      <c r="I55" s="785">
        <f>SUM('Bv Act'!U54)</f>
        <v>26</v>
      </c>
      <c r="J55" s="706">
        <f>SUM('Bv Act'!V54)</f>
        <v>0</v>
      </c>
      <c r="K55" s="820">
        <f t="shared" ref="K55" si="101">SUM(I55+J55)/12</f>
        <v>2.1666666666666665</v>
      </c>
      <c r="L55" s="708">
        <f>'Bv Act'!E54</f>
        <v>0</v>
      </c>
      <c r="M55" s="707">
        <f t="shared" si="87"/>
        <v>0</v>
      </c>
      <c r="N55" s="785">
        <f>SUM('Bv Act'!X54)</f>
        <v>39</v>
      </c>
      <c r="O55" s="706">
        <f>SUM('Bv Act'!Y54)</f>
        <v>7</v>
      </c>
      <c r="P55" s="711">
        <f t="shared" ref="P55" si="102">SUM(N55+O55)/24</f>
        <v>1.9166666666666667</v>
      </c>
      <c r="Q55" s="785">
        <f>SUM('Bv Act'!Z54)</f>
        <v>224</v>
      </c>
      <c r="R55" s="712">
        <f>SUM('Bv Act'!AA54)</f>
        <v>0</v>
      </c>
      <c r="S55" s="710">
        <f>SUM('Bv Act'!AB54)</f>
        <v>7</v>
      </c>
      <c r="T55" s="711">
        <f t="shared" ref="T55" si="103">SUM(Q55+R55+S55)/24</f>
        <v>9.625</v>
      </c>
      <c r="U55" s="704">
        <f t="shared" si="90"/>
        <v>303</v>
      </c>
      <c r="V55" s="715">
        <f t="shared" ref="V55" si="104">SUM(I55)*157</f>
        <v>4082</v>
      </c>
      <c r="W55" s="717">
        <f t="shared" ref="W55" si="105">SUM(J55)*102</f>
        <v>0</v>
      </c>
      <c r="X55" s="711">
        <f t="shared" si="93"/>
        <v>0</v>
      </c>
      <c r="Y55" s="715">
        <f t="shared" ref="Y55" si="106">SUM(N55)*67</f>
        <v>2613</v>
      </c>
      <c r="Z55" s="717">
        <f t="shared" ref="Z55" si="107">SUM(O55)*48</f>
        <v>336</v>
      </c>
      <c r="AA55" s="715">
        <f t="shared" ref="AA55" si="108">SUM(Q55)*46</f>
        <v>10304</v>
      </c>
      <c r="AB55" s="716">
        <f t="shared" ref="AB55" si="109">SUM(R55)*49</f>
        <v>0</v>
      </c>
      <c r="AC55" s="717">
        <f t="shared" ref="AC55" si="110">SUM(S55)*36.5</f>
        <v>255.5</v>
      </c>
      <c r="AD55" s="718">
        <f t="shared" si="99"/>
        <v>17590.5</v>
      </c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</row>
    <row r="56" spans="1:66" s="50" customFormat="1" ht="15.75" customHeight="1" thickBot="1" x14ac:dyDescent="0.25">
      <c r="A56" s="1066"/>
      <c r="B56" s="818" t="s">
        <v>43</v>
      </c>
      <c r="C56" s="826" t="s">
        <v>258</v>
      </c>
      <c r="D56" s="900">
        <v>34</v>
      </c>
      <c r="E56" s="901">
        <v>8</v>
      </c>
      <c r="F56" s="901">
        <v>1</v>
      </c>
      <c r="G56" s="901">
        <v>876</v>
      </c>
      <c r="H56" s="836">
        <f t="shared" si="85"/>
        <v>919</v>
      </c>
      <c r="I56" s="837">
        <f>SUM('Bv Act'!U55)</f>
        <v>32</v>
      </c>
      <c r="J56" s="722">
        <f>SUM('Bv Act'!V55)</f>
        <v>0</v>
      </c>
      <c r="K56" s="842">
        <f t="shared" si="86"/>
        <v>2.6666666666666665</v>
      </c>
      <c r="L56" s="708">
        <f>'Bv Act'!E55</f>
        <v>0</v>
      </c>
      <c r="M56" s="707">
        <f t="shared" si="87"/>
        <v>0</v>
      </c>
      <c r="N56" s="805">
        <f>SUM('Bv Act'!X55)</f>
        <v>2</v>
      </c>
      <c r="O56" s="806">
        <f>SUM('Bv Act'!Y55)</f>
        <v>0</v>
      </c>
      <c r="P56" s="723">
        <f t="shared" si="88"/>
        <v>8.3333333333333329E-2</v>
      </c>
      <c r="Q56" s="805">
        <f>SUM('Bv Act'!Z55)</f>
        <v>401</v>
      </c>
      <c r="R56" s="727">
        <f>SUM('Bv Act'!AA55)</f>
        <v>0</v>
      </c>
      <c r="S56" s="726">
        <f>SUM('Bv Act'!AB55)</f>
        <v>0</v>
      </c>
      <c r="T56" s="723">
        <f t="shared" si="89"/>
        <v>16.708333333333332</v>
      </c>
      <c r="U56" s="728">
        <f t="shared" si="90"/>
        <v>435</v>
      </c>
      <c r="V56" s="732">
        <f t="shared" si="91"/>
        <v>5024</v>
      </c>
      <c r="W56" s="734">
        <f t="shared" si="92"/>
        <v>0</v>
      </c>
      <c r="X56" s="731">
        <f t="shared" si="93"/>
        <v>0</v>
      </c>
      <c r="Y56" s="732">
        <f t="shared" si="94"/>
        <v>134</v>
      </c>
      <c r="Z56" s="734">
        <f t="shared" si="95"/>
        <v>0</v>
      </c>
      <c r="AA56" s="732">
        <f t="shared" si="96"/>
        <v>18446</v>
      </c>
      <c r="AB56" s="733">
        <f t="shared" si="97"/>
        <v>0</v>
      </c>
      <c r="AC56" s="734">
        <f t="shared" si="98"/>
        <v>0</v>
      </c>
      <c r="AD56" s="735">
        <f t="shared" si="99"/>
        <v>23604</v>
      </c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</row>
    <row r="57" spans="1:66" s="50" customFormat="1" ht="13.5" customHeight="1" thickBot="1" x14ac:dyDescent="0.25">
      <c r="A57" s="668"/>
      <c r="B57" s="736"/>
      <c r="C57" s="737" t="s">
        <v>80</v>
      </c>
      <c r="D57" s="809">
        <f t="shared" ref="D57:I57" si="111">SUM(D51:D56)</f>
        <v>190</v>
      </c>
      <c r="E57" s="809">
        <f t="shared" si="111"/>
        <v>33</v>
      </c>
      <c r="F57" s="809">
        <f t="shared" si="111"/>
        <v>158</v>
      </c>
      <c r="G57" s="809">
        <f t="shared" si="111"/>
        <v>5226</v>
      </c>
      <c r="H57" s="739">
        <f t="shared" si="111"/>
        <v>5607</v>
      </c>
      <c r="I57" s="739">
        <f t="shared" si="111"/>
        <v>158</v>
      </c>
      <c r="J57" s="811">
        <f t="shared" ref="J57:Y57" si="112">SUM(J51:J56)</f>
        <v>0</v>
      </c>
      <c r="K57" s="744">
        <f t="shared" si="112"/>
        <v>13.166666666666666</v>
      </c>
      <c r="L57" s="744">
        <f t="shared" si="112"/>
        <v>0</v>
      </c>
      <c r="M57" s="744">
        <f t="shared" si="112"/>
        <v>0</v>
      </c>
      <c r="N57" s="739">
        <f t="shared" si="112"/>
        <v>92</v>
      </c>
      <c r="O57" s="828">
        <f t="shared" si="112"/>
        <v>31</v>
      </c>
      <c r="P57" s="744">
        <f t="shared" si="112"/>
        <v>5.125</v>
      </c>
      <c r="Q57" s="739">
        <f t="shared" si="112"/>
        <v>1770</v>
      </c>
      <c r="R57" s="745">
        <f t="shared" si="112"/>
        <v>12</v>
      </c>
      <c r="S57" s="843">
        <f t="shared" si="112"/>
        <v>84</v>
      </c>
      <c r="T57" s="747">
        <f t="shared" si="112"/>
        <v>77.75</v>
      </c>
      <c r="U57" s="739">
        <f>SUM(U51:U56)</f>
        <v>2147</v>
      </c>
      <c r="V57" s="744">
        <f t="shared" si="112"/>
        <v>24806</v>
      </c>
      <c r="W57" s="749">
        <f t="shared" si="112"/>
        <v>0</v>
      </c>
      <c r="X57" s="747">
        <f t="shared" si="112"/>
        <v>0</v>
      </c>
      <c r="Y57" s="744">
        <f t="shared" si="112"/>
        <v>6164</v>
      </c>
      <c r="Z57" s="740">
        <f>SUM(Z51:Z56)</f>
        <v>1488</v>
      </c>
      <c r="AA57" s="750">
        <f>SUM(AA51:AA56)</f>
        <v>81420</v>
      </c>
      <c r="AB57" s="751">
        <f>SUM(AB51:AB56)</f>
        <v>588</v>
      </c>
      <c r="AC57" s="811">
        <f>SUM(AC51:AC56)</f>
        <v>3066</v>
      </c>
      <c r="AD57" s="747">
        <f>SUM(AD51:AD56)</f>
        <v>117532</v>
      </c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</row>
    <row r="58" spans="1:66" s="111" customFormat="1" ht="15.75" thickBot="1" x14ac:dyDescent="0.25">
      <c r="B58" s="753"/>
      <c r="C58" s="753"/>
      <c r="D58" s="754"/>
      <c r="E58" s="754"/>
      <c r="F58" s="754"/>
      <c r="G58" s="754"/>
      <c r="H58" s="812"/>
      <c r="I58" s="763"/>
      <c r="J58" s="764"/>
      <c r="K58" s="764"/>
      <c r="L58" s="764"/>
      <c r="M58" s="764"/>
      <c r="N58" s="763"/>
      <c r="O58" s="763"/>
      <c r="P58" s="764"/>
      <c r="Q58" s="763"/>
      <c r="R58" s="763"/>
      <c r="S58" s="763"/>
      <c r="T58" s="764"/>
      <c r="U58" s="765"/>
      <c r="V58" s="764"/>
      <c r="W58" s="764"/>
      <c r="X58" s="764"/>
      <c r="Y58" s="764"/>
      <c r="Z58" s="764"/>
      <c r="AA58" s="764"/>
      <c r="AB58" s="764"/>
      <c r="AC58" s="764"/>
      <c r="AD58" s="766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</row>
    <row r="59" spans="1:66" s="113" customFormat="1" ht="15" x14ac:dyDescent="0.2">
      <c r="A59" s="1064" t="s">
        <v>78</v>
      </c>
      <c r="B59" s="813" t="str">
        <f>'Bv Act'!B58</f>
        <v>MUTTUR</v>
      </c>
      <c r="C59" s="844" t="s">
        <v>45</v>
      </c>
      <c r="D59" s="903">
        <v>40</v>
      </c>
      <c r="E59" s="904">
        <v>0</v>
      </c>
      <c r="F59" s="904">
        <v>0</v>
      </c>
      <c r="G59" s="904">
        <v>204</v>
      </c>
      <c r="H59" s="834">
        <f t="shared" ref="H59:H66" si="113">SUM(D59:G59)</f>
        <v>244</v>
      </c>
      <c r="I59" s="776">
        <f>SUM('Bv Act'!U58)</f>
        <v>40</v>
      </c>
      <c r="J59" s="841">
        <f>SUM('Bv Act'!V58)</f>
        <v>0</v>
      </c>
      <c r="K59" s="757">
        <f t="shared" ref="K59:K66" si="114">SUM(I59+J59)/12</f>
        <v>3.3333333333333335</v>
      </c>
      <c r="L59" s="772">
        <f>'Bv Act'!E58</f>
        <v>0</v>
      </c>
      <c r="M59" s="695">
        <f t="shared" ref="M59:M66" si="115">L59/12</f>
        <v>0</v>
      </c>
      <c r="N59" s="776">
        <f>SUM('Bv Act'!X58)</f>
        <v>0</v>
      </c>
      <c r="O59" s="816">
        <f>SUM('Bv Act'!Y58)</f>
        <v>0</v>
      </c>
      <c r="P59" s="781">
        <f t="shared" ref="P59:P66" si="116">SUM(N59+O59)/24</f>
        <v>0</v>
      </c>
      <c r="Q59" s="776">
        <f>SUM('Bv Act'!Z58)</f>
        <v>25</v>
      </c>
      <c r="R59" s="777">
        <f>SUM('Bv Act'!AA58)</f>
        <v>0</v>
      </c>
      <c r="S59" s="816">
        <f>SUM('Bv Act'!AB58)</f>
        <v>0</v>
      </c>
      <c r="T59" s="771">
        <f t="shared" ref="T59:T66" si="117">SUM(Q59+R59+S59)/24</f>
        <v>1.0416666666666667</v>
      </c>
      <c r="U59" s="687">
        <f t="shared" ref="U59:U66" si="118">SUM(I59+J59+N59+O59+Q59+R59+S59+L59)</f>
        <v>65</v>
      </c>
      <c r="V59" s="779">
        <f t="shared" ref="V59:V66" si="119">SUM(I59)*157</f>
        <v>6280</v>
      </c>
      <c r="W59" s="780">
        <f t="shared" ref="W59:W66" si="120">SUM(J59)*102</f>
        <v>0</v>
      </c>
      <c r="X59" s="690">
        <f t="shared" ref="X59:X66" si="121">L59*146</f>
        <v>0</v>
      </c>
      <c r="Y59" s="779">
        <f t="shared" ref="Y59:Y66" si="122">SUM(N59)*67</f>
        <v>0</v>
      </c>
      <c r="Z59" s="757">
        <f t="shared" ref="Z59:Z66" si="123">SUM(O59)*48</f>
        <v>0</v>
      </c>
      <c r="AA59" s="698">
        <f t="shared" ref="AA59:AA66" si="124">SUM(Q59)*46</f>
        <v>1150</v>
      </c>
      <c r="AB59" s="699">
        <f t="shared" ref="AB59:AB66" si="125">SUM(R59)*49</f>
        <v>0</v>
      </c>
      <c r="AC59" s="700">
        <f t="shared" ref="AC59:AC66" si="126">SUM(S59)*36.5</f>
        <v>0</v>
      </c>
      <c r="AD59" s="701">
        <f t="shared" ref="AD59:AD66" si="127">SUM(V59+W59+Y59+Z59+AA59+AB59+AC59+X59)</f>
        <v>7430</v>
      </c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</row>
    <row r="60" spans="1:66" s="50" customFormat="1" ht="15" customHeight="1" x14ac:dyDescent="0.2">
      <c r="A60" s="1065"/>
      <c r="B60" s="818" t="s">
        <v>46</v>
      </c>
      <c r="C60" s="819" t="s">
        <v>259</v>
      </c>
      <c r="D60" s="894">
        <v>18</v>
      </c>
      <c r="E60" s="895">
        <v>7</v>
      </c>
      <c r="F60" s="895">
        <v>191</v>
      </c>
      <c r="G60" s="895">
        <v>288</v>
      </c>
      <c r="H60" s="835">
        <f t="shared" si="113"/>
        <v>504</v>
      </c>
      <c r="I60" s="785">
        <f>SUM('Bv Act'!U59)</f>
        <v>18</v>
      </c>
      <c r="J60" s="717">
        <f>SUM('Bv Act'!V59)</f>
        <v>0</v>
      </c>
      <c r="K60" s="711">
        <f t="shared" si="114"/>
        <v>1.5</v>
      </c>
      <c r="L60" s="708">
        <f>'Bv Act'!E59</f>
        <v>0</v>
      </c>
      <c r="M60" s="707">
        <f t="shared" si="115"/>
        <v>0</v>
      </c>
      <c r="N60" s="785">
        <f>SUM('Bv Act'!X59)</f>
        <v>14</v>
      </c>
      <c r="O60" s="706">
        <f>SUM('Bv Act'!Y59)</f>
        <v>0</v>
      </c>
      <c r="P60" s="711">
        <f t="shared" si="116"/>
        <v>0.58333333333333337</v>
      </c>
      <c r="Q60" s="785">
        <f>SUM('Bv Act'!Z59)</f>
        <v>7</v>
      </c>
      <c r="R60" s="712">
        <f>SUM('Bv Act'!AA59)</f>
        <v>0</v>
      </c>
      <c r="S60" s="710">
        <f>SUM('Bv Act'!AB59)</f>
        <v>0</v>
      </c>
      <c r="T60" s="711">
        <f t="shared" si="117"/>
        <v>0.29166666666666669</v>
      </c>
      <c r="U60" s="704">
        <f t="shared" si="118"/>
        <v>39</v>
      </c>
      <c r="V60" s="715">
        <f t="shared" si="119"/>
        <v>2826</v>
      </c>
      <c r="W60" s="717">
        <f t="shared" si="120"/>
        <v>0</v>
      </c>
      <c r="X60" s="711">
        <f t="shared" si="121"/>
        <v>0</v>
      </c>
      <c r="Y60" s="715">
        <f t="shared" si="122"/>
        <v>938</v>
      </c>
      <c r="Z60" s="820">
        <f t="shared" si="123"/>
        <v>0</v>
      </c>
      <c r="AA60" s="715">
        <f t="shared" si="124"/>
        <v>322</v>
      </c>
      <c r="AB60" s="716">
        <f t="shared" si="125"/>
        <v>0</v>
      </c>
      <c r="AC60" s="717">
        <f t="shared" si="126"/>
        <v>0</v>
      </c>
      <c r="AD60" s="718">
        <f t="shared" si="127"/>
        <v>4086</v>
      </c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</row>
    <row r="61" spans="1:66" s="50" customFormat="1" ht="15" customHeight="1" x14ac:dyDescent="0.2">
      <c r="A61" s="1065"/>
      <c r="B61" s="818" t="s">
        <v>215</v>
      </c>
      <c r="C61" s="819" t="s">
        <v>260</v>
      </c>
      <c r="D61" s="894">
        <v>28</v>
      </c>
      <c r="E61" s="895">
        <v>23</v>
      </c>
      <c r="F61" s="895">
        <v>2</v>
      </c>
      <c r="G61" s="895">
        <v>156</v>
      </c>
      <c r="H61" s="835">
        <f t="shared" si="113"/>
        <v>209</v>
      </c>
      <c r="I61" s="785">
        <f>SUM('Bv Act'!U60)</f>
        <v>27</v>
      </c>
      <c r="J61" s="717">
        <f>SUM('Bv Act'!V60)</f>
        <v>0</v>
      </c>
      <c r="K61" s="711">
        <f t="shared" si="114"/>
        <v>2.25</v>
      </c>
      <c r="L61" s="708">
        <f>'Bv Act'!E60</f>
        <v>0</v>
      </c>
      <c r="M61" s="707">
        <f t="shared" si="115"/>
        <v>0</v>
      </c>
      <c r="N61" s="785">
        <f>SUM('Bv Act'!X60)</f>
        <v>0</v>
      </c>
      <c r="O61" s="706">
        <f>SUM('Bv Act'!Y60)</f>
        <v>2</v>
      </c>
      <c r="P61" s="711">
        <f t="shared" si="116"/>
        <v>8.3333333333333329E-2</v>
      </c>
      <c r="Q61" s="785">
        <f>SUM('Bv Act'!Z60)</f>
        <v>33</v>
      </c>
      <c r="R61" s="712">
        <f>SUM('Bv Act'!AA60)</f>
        <v>0</v>
      </c>
      <c r="S61" s="710">
        <f>SUM('Bv Act'!AB60)</f>
        <v>0</v>
      </c>
      <c r="T61" s="711">
        <f t="shared" si="117"/>
        <v>1.375</v>
      </c>
      <c r="U61" s="704">
        <f t="shared" si="118"/>
        <v>62</v>
      </c>
      <c r="V61" s="715">
        <f t="shared" si="119"/>
        <v>4239</v>
      </c>
      <c r="W61" s="717">
        <f t="shared" si="120"/>
        <v>0</v>
      </c>
      <c r="X61" s="711">
        <f t="shared" si="121"/>
        <v>0</v>
      </c>
      <c r="Y61" s="715">
        <f t="shared" si="122"/>
        <v>0</v>
      </c>
      <c r="Z61" s="820">
        <f t="shared" si="123"/>
        <v>96</v>
      </c>
      <c r="AA61" s="715">
        <f t="shared" si="124"/>
        <v>1518</v>
      </c>
      <c r="AB61" s="716">
        <f t="shared" si="125"/>
        <v>0</v>
      </c>
      <c r="AC61" s="717">
        <f t="shared" si="126"/>
        <v>0</v>
      </c>
      <c r="AD61" s="718">
        <f t="shared" si="127"/>
        <v>5853</v>
      </c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</row>
    <row r="62" spans="1:66" s="50" customFormat="1" ht="15" customHeight="1" x14ac:dyDescent="0.2">
      <c r="A62" s="1065"/>
      <c r="B62" s="818" t="s">
        <v>48</v>
      </c>
      <c r="C62" s="819" t="s">
        <v>245</v>
      </c>
      <c r="D62" s="894">
        <v>13</v>
      </c>
      <c r="E62" s="895">
        <v>15</v>
      </c>
      <c r="F62" s="895">
        <v>4</v>
      </c>
      <c r="G62" s="895">
        <v>505</v>
      </c>
      <c r="H62" s="835">
        <f t="shared" si="113"/>
        <v>537</v>
      </c>
      <c r="I62" s="785">
        <f>SUM('Bv Act'!U61)</f>
        <v>11</v>
      </c>
      <c r="J62" s="717">
        <f>SUM('Bv Act'!V61)</f>
        <v>0</v>
      </c>
      <c r="K62" s="711">
        <f t="shared" si="114"/>
        <v>0.91666666666666663</v>
      </c>
      <c r="L62" s="708">
        <f>'Bv Act'!E61</f>
        <v>0</v>
      </c>
      <c r="M62" s="707">
        <f t="shared" si="115"/>
        <v>0</v>
      </c>
      <c r="N62" s="785">
        <f>SUM('Bv Act'!X61)</f>
        <v>0</v>
      </c>
      <c r="O62" s="706">
        <f>SUM('Bv Act'!Y61)</f>
        <v>4</v>
      </c>
      <c r="P62" s="711">
        <f t="shared" si="116"/>
        <v>0.16666666666666666</v>
      </c>
      <c r="Q62" s="785">
        <f>SUM('Bv Act'!Z61)</f>
        <v>133</v>
      </c>
      <c r="R62" s="712">
        <f>SUM('Bv Act'!AA61)</f>
        <v>76</v>
      </c>
      <c r="S62" s="710">
        <f>SUM('Bv Act'!AB61)</f>
        <v>5</v>
      </c>
      <c r="T62" s="711">
        <f t="shared" si="117"/>
        <v>8.9166666666666661</v>
      </c>
      <c r="U62" s="704">
        <f t="shared" si="118"/>
        <v>229</v>
      </c>
      <c r="V62" s="715">
        <f t="shared" si="119"/>
        <v>1727</v>
      </c>
      <c r="W62" s="717">
        <f t="shared" si="120"/>
        <v>0</v>
      </c>
      <c r="X62" s="711">
        <f t="shared" si="121"/>
        <v>0</v>
      </c>
      <c r="Y62" s="715">
        <f t="shared" si="122"/>
        <v>0</v>
      </c>
      <c r="Z62" s="820">
        <f t="shared" si="123"/>
        <v>192</v>
      </c>
      <c r="AA62" s="715">
        <f t="shared" si="124"/>
        <v>6118</v>
      </c>
      <c r="AB62" s="716">
        <f t="shared" si="125"/>
        <v>3724</v>
      </c>
      <c r="AC62" s="717">
        <f t="shared" si="126"/>
        <v>182.5</v>
      </c>
      <c r="AD62" s="718">
        <f t="shared" si="127"/>
        <v>11943.5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</row>
    <row r="63" spans="1:66" s="50" customFormat="1" ht="15" customHeight="1" x14ac:dyDescent="0.2">
      <c r="A63" s="1065"/>
      <c r="B63" s="818" t="s">
        <v>49</v>
      </c>
      <c r="C63" s="819" t="s">
        <v>50</v>
      </c>
      <c r="D63" s="894">
        <v>44</v>
      </c>
      <c r="E63" s="895">
        <v>0</v>
      </c>
      <c r="F63" s="895">
        <v>0</v>
      </c>
      <c r="G63" s="895">
        <v>432</v>
      </c>
      <c r="H63" s="835">
        <f t="shared" si="113"/>
        <v>476</v>
      </c>
      <c r="I63" s="785">
        <f>SUM('Bv Act'!U62)</f>
        <v>44</v>
      </c>
      <c r="J63" s="717">
        <f>SUM('Bv Act'!V62)</f>
        <v>0</v>
      </c>
      <c r="K63" s="711">
        <f t="shared" si="114"/>
        <v>3.6666666666666665</v>
      </c>
      <c r="L63" s="708">
        <f>'Bv Act'!E62</f>
        <v>0</v>
      </c>
      <c r="M63" s="707">
        <f t="shared" si="115"/>
        <v>0</v>
      </c>
      <c r="N63" s="785">
        <f>SUM('Bv Act'!X62)</f>
        <v>0</v>
      </c>
      <c r="O63" s="706">
        <f>SUM('Bv Act'!Y62)</f>
        <v>0</v>
      </c>
      <c r="P63" s="711">
        <f t="shared" si="116"/>
        <v>0</v>
      </c>
      <c r="Q63" s="785">
        <f>SUM('Bv Act'!Z62)</f>
        <v>44</v>
      </c>
      <c r="R63" s="712">
        <f>SUM('Bv Act'!AA62)</f>
        <v>36</v>
      </c>
      <c r="S63" s="710">
        <f>SUM('Bv Act'!AB62)</f>
        <v>0</v>
      </c>
      <c r="T63" s="711">
        <f t="shared" si="117"/>
        <v>3.3333333333333335</v>
      </c>
      <c r="U63" s="704">
        <f t="shared" si="118"/>
        <v>124</v>
      </c>
      <c r="V63" s="715">
        <f t="shared" si="119"/>
        <v>6908</v>
      </c>
      <c r="W63" s="717">
        <f t="shared" si="120"/>
        <v>0</v>
      </c>
      <c r="X63" s="711">
        <f t="shared" si="121"/>
        <v>0</v>
      </c>
      <c r="Y63" s="715">
        <f t="shared" si="122"/>
        <v>0</v>
      </c>
      <c r="Z63" s="820">
        <f t="shared" si="123"/>
        <v>0</v>
      </c>
      <c r="AA63" s="715">
        <f t="shared" si="124"/>
        <v>2024</v>
      </c>
      <c r="AB63" s="716">
        <f t="shared" si="125"/>
        <v>1764</v>
      </c>
      <c r="AC63" s="717">
        <f t="shared" si="126"/>
        <v>0</v>
      </c>
      <c r="AD63" s="718">
        <f t="shared" si="127"/>
        <v>10696</v>
      </c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</row>
    <row r="64" spans="1:66" s="50" customFormat="1" ht="15" customHeight="1" x14ac:dyDescent="0.2">
      <c r="A64" s="1065"/>
      <c r="B64" s="818" t="s">
        <v>51</v>
      </c>
      <c r="C64" s="819" t="str">
        <f>'Bv flv'!C63</f>
        <v>ALMT.DISTRIBUTOR</v>
      </c>
      <c r="D64" s="894">
        <v>24</v>
      </c>
      <c r="E64" s="895">
        <v>26</v>
      </c>
      <c r="F64" s="895">
        <v>0</v>
      </c>
      <c r="G64" s="895">
        <v>382</v>
      </c>
      <c r="H64" s="835">
        <f t="shared" si="113"/>
        <v>432</v>
      </c>
      <c r="I64" s="785">
        <f>SUM('Bv Act'!U63)</f>
        <v>24</v>
      </c>
      <c r="J64" s="717">
        <f>SUM('Bv Act'!V63)</f>
        <v>0</v>
      </c>
      <c r="K64" s="711">
        <f t="shared" si="114"/>
        <v>2</v>
      </c>
      <c r="L64" s="708">
        <f>'Bv Act'!E63</f>
        <v>0</v>
      </c>
      <c r="M64" s="707">
        <f t="shared" si="115"/>
        <v>0</v>
      </c>
      <c r="N64" s="785">
        <f>SUM('Bv Act'!X63)</f>
        <v>0</v>
      </c>
      <c r="O64" s="706">
        <f>SUM('Bv Act'!Y63)</f>
        <v>0</v>
      </c>
      <c r="P64" s="711">
        <f t="shared" si="116"/>
        <v>0</v>
      </c>
      <c r="Q64" s="785">
        <f>SUM('Bv Act'!Z63)</f>
        <v>32</v>
      </c>
      <c r="R64" s="712">
        <f>SUM('Bv Act'!AA63)</f>
        <v>0</v>
      </c>
      <c r="S64" s="710">
        <f>SUM('Bv Act'!AB63)</f>
        <v>0</v>
      </c>
      <c r="T64" s="711">
        <f t="shared" si="117"/>
        <v>1.3333333333333333</v>
      </c>
      <c r="U64" s="704">
        <f t="shared" si="118"/>
        <v>56</v>
      </c>
      <c r="V64" s="715">
        <f t="shared" si="119"/>
        <v>3768</v>
      </c>
      <c r="W64" s="717">
        <f t="shared" si="120"/>
        <v>0</v>
      </c>
      <c r="X64" s="711">
        <f t="shared" si="121"/>
        <v>0</v>
      </c>
      <c r="Y64" s="715">
        <f t="shared" si="122"/>
        <v>0</v>
      </c>
      <c r="Z64" s="820">
        <f t="shared" si="123"/>
        <v>0</v>
      </c>
      <c r="AA64" s="715">
        <f t="shared" si="124"/>
        <v>1472</v>
      </c>
      <c r="AB64" s="716">
        <f t="shared" si="125"/>
        <v>0</v>
      </c>
      <c r="AC64" s="717">
        <f t="shared" si="126"/>
        <v>0</v>
      </c>
      <c r="AD64" s="718">
        <f t="shared" si="127"/>
        <v>5240</v>
      </c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</row>
    <row r="65" spans="1:66" s="50" customFormat="1" ht="15" customHeight="1" x14ac:dyDescent="0.2">
      <c r="A65" s="1065"/>
      <c r="B65" s="818" t="s">
        <v>52</v>
      </c>
      <c r="C65" s="819" t="s">
        <v>246</v>
      </c>
      <c r="D65" s="894">
        <v>14</v>
      </c>
      <c r="E65" s="895">
        <v>0</v>
      </c>
      <c r="F65" s="895">
        <v>27</v>
      </c>
      <c r="G65" s="895">
        <v>203</v>
      </c>
      <c r="H65" s="835">
        <f t="shared" si="113"/>
        <v>244</v>
      </c>
      <c r="I65" s="785">
        <f>SUM('Bv Act'!U64)</f>
        <v>14</v>
      </c>
      <c r="J65" s="717">
        <f>SUM('Bv Act'!V64)</f>
        <v>0</v>
      </c>
      <c r="K65" s="711">
        <f t="shared" si="114"/>
        <v>1.1666666666666667</v>
      </c>
      <c r="L65" s="708">
        <f>'Bv Act'!E64</f>
        <v>0</v>
      </c>
      <c r="M65" s="707">
        <f t="shared" si="115"/>
        <v>0</v>
      </c>
      <c r="N65" s="785">
        <f>SUM('Bv Act'!X64)</f>
        <v>16</v>
      </c>
      <c r="O65" s="706">
        <f>SUM('Bv Act'!Y64)</f>
        <v>16</v>
      </c>
      <c r="P65" s="711">
        <f t="shared" si="116"/>
        <v>1.3333333333333333</v>
      </c>
      <c r="Q65" s="785">
        <f>SUM('Bv Act'!Z64)</f>
        <v>84</v>
      </c>
      <c r="R65" s="712">
        <f>SUM('Bv Act'!AA64)</f>
        <v>6</v>
      </c>
      <c r="S65" s="710">
        <f>SUM('Bv Act'!AB64)</f>
        <v>5</v>
      </c>
      <c r="T65" s="711">
        <f t="shared" si="117"/>
        <v>3.9583333333333335</v>
      </c>
      <c r="U65" s="704">
        <f t="shared" si="118"/>
        <v>141</v>
      </c>
      <c r="V65" s="715">
        <f t="shared" si="119"/>
        <v>2198</v>
      </c>
      <c r="W65" s="717">
        <f t="shared" si="120"/>
        <v>0</v>
      </c>
      <c r="X65" s="711">
        <f t="shared" si="121"/>
        <v>0</v>
      </c>
      <c r="Y65" s="715">
        <f t="shared" si="122"/>
        <v>1072</v>
      </c>
      <c r="Z65" s="820">
        <f>SUM(O65)*48</f>
        <v>768</v>
      </c>
      <c r="AA65" s="715">
        <f t="shared" si="124"/>
        <v>3864</v>
      </c>
      <c r="AB65" s="716">
        <f t="shared" si="125"/>
        <v>294</v>
      </c>
      <c r="AC65" s="717">
        <f t="shared" si="126"/>
        <v>182.5</v>
      </c>
      <c r="AD65" s="718">
        <f t="shared" si="127"/>
        <v>8378.5</v>
      </c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</row>
    <row r="66" spans="1:66" s="50" customFormat="1" ht="15.75" customHeight="1" thickBot="1" x14ac:dyDescent="0.25">
      <c r="A66" s="1066"/>
      <c r="B66" s="845" t="s">
        <v>53</v>
      </c>
      <c r="C66" s="846" t="s">
        <v>247</v>
      </c>
      <c r="D66" s="900">
        <v>66</v>
      </c>
      <c r="E66" s="901">
        <v>7</v>
      </c>
      <c r="F66" s="901">
        <v>0</v>
      </c>
      <c r="G66" s="901">
        <v>281</v>
      </c>
      <c r="H66" s="847">
        <f t="shared" si="113"/>
        <v>354</v>
      </c>
      <c r="I66" s="773">
        <f>SUM('Bv Act'!U65)</f>
        <v>65</v>
      </c>
      <c r="J66" s="848">
        <f>SUM('Bv Act'!V65)</f>
        <v>0</v>
      </c>
      <c r="K66" s="849">
        <f t="shared" si="114"/>
        <v>5.416666666666667</v>
      </c>
      <c r="L66" s="838">
        <f>'Bv Act'!E65</f>
        <v>0</v>
      </c>
      <c r="M66" s="839">
        <f t="shared" si="115"/>
        <v>0</v>
      </c>
      <c r="N66" s="773">
        <f>SUM('Bv Act'!X65)</f>
        <v>0</v>
      </c>
      <c r="O66" s="774">
        <f>SUM('Bv Act'!Y65)</f>
        <v>0</v>
      </c>
      <c r="P66" s="775">
        <f t="shared" si="116"/>
        <v>0</v>
      </c>
      <c r="Q66" s="773">
        <f>SUM('Bv Act'!Z65)</f>
        <v>135</v>
      </c>
      <c r="R66" s="821">
        <f>SUM('Bv Act'!AA65)</f>
        <v>0</v>
      </c>
      <c r="S66" s="774">
        <f>SUM('Bv Act'!AB65)</f>
        <v>0</v>
      </c>
      <c r="T66" s="850">
        <f t="shared" si="117"/>
        <v>5.625</v>
      </c>
      <c r="U66" s="728">
        <f t="shared" si="118"/>
        <v>200</v>
      </c>
      <c r="V66" s="851">
        <f t="shared" si="119"/>
        <v>10205</v>
      </c>
      <c r="W66" s="852">
        <f t="shared" si="120"/>
        <v>0</v>
      </c>
      <c r="X66" s="731">
        <f t="shared" si="121"/>
        <v>0</v>
      </c>
      <c r="Y66" s="851">
        <f t="shared" si="122"/>
        <v>0</v>
      </c>
      <c r="Z66" s="764">
        <f t="shared" si="123"/>
        <v>0</v>
      </c>
      <c r="AA66" s="715">
        <f t="shared" si="124"/>
        <v>6210</v>
      </c>
      <c r="AB66" s="853">
        <f t="shared" si="125"/>
        <v>0</v>
      </c>
      <c r="AC66" s="848">
        <f t="shared" si="126"/>
        <v>0</v>
      </c>
      <c r="AD66" s="735">
        <f t="shared" si="127"/>
        <v>16415</v>
      </c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</row>
    <row r="67" spans="1:66" s="50" customFormat="1" ht="13.5" customHeight="1" thickBot="1" x14ac:dyDescent="0.25">
      <c r="A67" s="668"/>
      <c r="B67" s="736"/>
      <c r="C67" s="737" t="s">
        <v>80</v>
      </c>
      <c r="D67" s="809">
        <f>SUM(D59:D66)</f>
        <v>247</v>
      </c>
      <c r="E67" s="809">
        <f>SUM(E59:E66)</f>
        <v>78</v>
      </c>
      <c r="F67" s="809">
        <f>SUM(F59:F66)</f>
        <v>224</v>
      </c>
      <c r="G67" s="809">
        <f>SUM(G59:G66)</f>
        <v>2451</v>
      </c>
      <c r="H67" s="739">
        <f>SUM(H59:H66)</f>
        <v>3000</v>
      </c>
      <c r="I67" s="739">
        <f t="shared" ref="I67" si="128">SUM(I59:I66)</f>
        <v>243</v>
      </c>
      <c r="J67" s="811">
        <f t="shared" ref="J67:Z67" si="129">SUM(J59:J66)</f>
        <v>0</v>
      </c>
      <c r="K67" s="744">
        <f t="shared" si="129"/>
        <v>20.25</v>
      </c>
      <c r="L67" s="744">
        <f t="shared" si="129"/>
        <v>0</v>
      </c>
      <c r="M67" s="744">
        <f t="shared" si="129"/>
        <v>0</v>
      </c>
      <c r="N67" s="739">
        <f t="shared" si="129"/>
        <v>30</v>
      </c>
      <c r="O67" s="828">
        <f t="shared" si="129"/>
        <v>22</v>
      </c>
      <c r="P67" s="744">
        <f t="shared" si="129"/>
        <v>2.1666666666666665</v>
      </c>
      <c r="Q67" s="810">
        <f t="shared" si="129"/>
        <v>493</v>
      </c>
      <c r="R67" s="745">
        <f t="shared" si="129"/>
        <v>118</v>
      </c>
      <c r="S67" s="829">
        <f t="shared" si="129"/>
        <v>10</v>
      </c>
      <c r="T67" s="747">
        <f t="shared" si="129"/>
        <v>25.875</v>
      </c>
      <c r="U67" s="739">
        <f>SUM(U59:U66)</f>
        <v>916</v>
      </c>
      <c r="V67" s="744">
        <f t="shared" si="129"/>
        <v>38151</v>
      </c>
      <c r="W67" s="749">
        <f t="shared" si="129"/>
        <v>0</v>
      </c>
      <c r="X67" s="747">
        <f t="shared" si="129"/>
        <v>0</v>
      </c>
      <c r="Y67" s="744">
        <f t="shared" si="129"/>
        <v>2010</v>
      </c>
      <c r="Z67" s="811">
        <f t="shared" si="129"/>
        <v>1056</v>
      </c>
      <c r="AA67" s="750">
        <f>SUM(AA59:AA66)</f>
        <v>22678</v>
      </c>
      <c r="AB67" s="751">
        <f>SUM(AB66,AB65,AB64,AB63,AB62,AB61,AB60,AB59)</f>
        <v>5782</v>
      </c>
      <c r="AC67" s="811">
        <f>SUM(AC59:AC66)</f>
        <v>365</v>
      </c>
      <c r="AD67" s="744">
        <f>SUM(AD59:AD66)</f>
        <v>70042</v>
      </c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</row>
    <row r="68" spans="1:66" s="111" customFormat="1" ht="15.75" thickBot="1" x14ac:dyDescent="0.25">
      <c r="B68" s="753"/>
      <c r="C68" s="753"/>
      <c r="D68" s="137"/>
      <c r="E68" s="137"/>
      <c r="F68" s="137"/>
      <c r="G68" s="137"/>
      <c r="H68" s="831"/>
      <c r="I68" s="832"/>
      <c r="J68" s="169"/>
      <c r="K68" s="169"/>
      <c r="L68" s="169"/>
      <c r="M68" s="169"/>
      <c r="N68" s="832"/>
      <c r="O68" s="832"/>
      <c r="P68" s="169"/>
      <c r="Q68" s="832"/>
      <c r="R68" s="832"/>
      <c r="S68" s="832"/>
      <c r="T68" s="169"/>
      <c r="U68" s="833"/>
      <c r="V68" s="169"/>
      <c r="W68" s="169"/>
      <c r="X68" s="169"/>
      <c r="Y68" s="169"/>
      <c r="Z68" s="169"/>
      <c r="AA68" s="169"/>
      <c r="AB68" s="169"/>
      <c r="AC68" s="169"/>
      <c r="AD68" s="137"/>
    </row>
    <row r="69" spans="1:66" s="113" customFormat="1" ht="15" customHeight="1" x14ac:dyDescent="0.2">
      <c r="A69" s="1064" t="s">
        <v>79</v>
      </c>
      <c r="B69" s="813" t="s">
        <v>162</v>
      </c>
      <c r="C69" s="854" t="s">
        <v>288</v>
      </c>
      <c r="D69" s="903">
        <v>20</v>
      </c>
      <c r="E69" s="904">
        <v>2</v>
      </c>
      <c r="F69" s="904">
        <v>80</v>
      </c>
      <c r="G69" s="904">
        <v>139</v>
      </c>
      <c r="H69" s="840">
        <f t="shared" ref="H69:H71" si="130">SUM(D69:G69)</f>
        <v>241</v>
      </c>
      <c r="I69" s="776">
        <f>SUM('Bv Act'!U68)</f>
        <v>20</v>
      </c>
      <c r="J69" s="841">
        <f>SUM('Bv Act'!V68)</f>
        <v>0</v>
      </c>
      <c r="K69" s="757">
        <f t="shared" ref="K69:K70" si="131">SUM(I69+J69)/12</f>
        <v>1.6666666666666667</v>
      </c>
      <c r="L69" s="772">
        <f>'Bv Act'!E68</f>
        <v>0</v>
      </c>
      <c r="M69" s="695">
        <f t="shared" ref="M69:M72" si="132">L69/12</f>
        <v>0</v>
      </c>
      <c r="N69" s="776">
        <f>SUM('Bv Act'!X68)</f>
        <v>18</v>
      </c>
      <c r="O69" s="816">
        <f>SUM('Bv Act'!Y68)</f>
        <v>1</v>
      </c>
      <c r="P69" s="781">
        <f t="shared" ref="P69:P70" si="133">SUM(N69+O69)/24</f>
        <v>0.79166666666666663</v>
      </c>
      <c r="Q69" s="776">
        <f>SUM('Bv Act'!Z68)</f>
        <v>36</v>
      </c>
      <c r="R69" s="777">
        <f>SUM('Bv Act'!AA68)</f>
        <v>1</v>
      </c>
      <c r="S69" s="816">
        <f>SUM('Bv Act'!AB68)</f>
        <v>1</v>
      </c>
      <c r="T69" s="771">
        <f t="shared" ref="T69:T70" si="134">SUM(Q69+R69+S69)/24</f>
        <v>1.5833333333333333</v>
      </c>
      <c r="U69" s="687">
        <f t="shared" ref="U69:U72" si="135">SUM(I69+J69+N69+O69+Q69+R69+S69+L69)</f>
        <v>77</v>
      </c>
      <c r="V69" s="779">
        <f t="shared" ref="V69:V70" si="136">SUM(I69)*157</f>
        <v>3140</v>
      </c>
      <c r="W69" s="780">
        <f t="shared" ref="W69:W70" si="137">SUM(J69)*102</f>
        <v>0</v>
      </c>
      <c r="X69" s="690">
        <f t="shared" ref="X69:X72" si="138">L69*146</f>
        <v>0</v>
      </c>
      <c r="Y69" s="779">
        <f t="shared" ref="Y69:Y70" si="139">SUM(N69)*67</f>
        <v>1206</v>
      </c>
      <c r="Z69" s="757">
        <f t="shared" ref="Z69:Z70" si="140">SUM(O69)*48</f>
        <v>48</v>
      </c>
      <c r="AA69" s="781">
        <f t="shared" ref="AA69:AA70" si="141">SUM(Q69)*46</f>
        <v>1656</v>
      </c>
      <c r="AB69" s="782">
        <f t="shared" ref="AB69:AB70" si="142">SUM(R69)*49</f>
        <v>49</v>
      </c>
      <c r="AC69" s="757">
        <f t="shared" ref="AC69:AC70" si="143">SUM(S69)*36.5</f>
        <v>36.5</v>
      </c>
      <c r="AD69" s="701">
        <f t="shared" ref="AD69:AD72" si="144">SUM(V69+W69+Y69+Z69+AA69+AB69+AC69+X69)</f>
        <v>6135.5</v>
      </c>
    </row>
    <row r="70" spans="1:66" s="50" customFormat="1" ht="15" x14ac:dyDescent="0.2">
      <c r="A70" s="1065"/>
      <c r="B70" s="818" t="s">
        <v>55</v>
      </c>
      <c r="C70" s="819" t="s">
        <v>288</v>
      </c>
      <c r="D70" s="894">
        <v>14</v>
      </c>
      <c r="E70" s="895">
        <v>17</v>
      </c>
      <c r="F70" s="895">
        <v>46</v>
      </c>
      <c r="G70" s="895">
        <v>127</v>
      </c>
      <c r="H70" s="835">
        <f t="shared" si="130"/>
        <v>204</v>
      </c>
      <c r="I70" s="785">
        <f>SUM('Bv Act'!U69)</f>
        <v>14</v>
      </c>
      <c r="J70" s="717">
        <f>SUM('Bv Act'!V69)</f>
        <v>0</v>
      </c>
      <c r="K70" s="787">
        <f t="shared" si="131"/>
        <v>1.1666666666666667</v>
      </c>
      <c r="L70" s="708">
        <f>'Bv Act'!E69</f>
        <v>0</v>
      </c>
      <c r="M70" s="707">
        <f t="shared" si="132"/>
        <v>0</v>
      </c>
      <c r="N70" s="785">
        <f>SUM('Bv Act'!X69)</f>
        <v>26</v>
      </c>
      <c r="O70" s="710">
        <f>SUM('Bv Act'!Y69)</f>
        <v>6</v>
      </c>
      <c r="P70" s="786">
        <f t="shared" si="133"/>
        <v>1.3333333333333333</v>
      </c>
      <c r="Q70" s="785">
        <f>SUM('Bv Act'!Z69)</f>
        <v>55</v>
      </c>
      <c r="R70" s="712">
        <f>SUM('Bv Act'!AA69)</f>
        <v>1</v>
      </c>
      <c r="S70" s="710">
        <f>SUM('Bv Act'!AB69)</f>
        <v>1</v>
      </c>
      <c r="T70" s="711">
        <f t="shared" si="134"/>
        <v>2.375</v>
      </c>
      <c r="U70" s="704">
        <f t="shared" si="135"/>
        <v>103</v>
      </c>
      <c r="V70" s="715">
        <f t="shared" si="136"/>
        <v>2198</v>
      </c>
      <c r="W70" s="714">
        <f t="shared" si="137"/>
        <v>0</v>
      </c>
      <c r="X70" s="711">
        <f t="shared" si="138"/>
        <v>0</v>
      </c>
      <c r="Y70" s="715">
        <f t="shared" si="139"/>
        <v>1742</v>
      </c>
      <c r="Z70" s="787">
        <f t="shared" si="140"/>
        <v>288</v>
      </c>
      <c r="AA70" s="786">
        <f t="shared" si="141"/>
        <v>2530</v>
      </c>
      <c r="AB70" s="716">
        <f t="shared" si="142"/>
        <v>49</v>
      </c>
      <c r="AC70" s="787">
        <f t="shared" si="143"/>
        <v>36.5</v>
      </c>
      <c r="AD70" s="718">
        <f t="shared" si="144"/>
        <v>6843.5</v>
      </c>
    </row>
    <row r="71" spans="1:66" s="50" customFormat="1" ht="15" x14ac:dyDescent="0.2">
      <c r="A71" s="1065"/>
      <c r="B71" s="855" t="str">
        <f>'Bv Act'!B70</f>
        <v>CHAVACACHCHERI</v>
      </c>
      <c r="C71" s="819" t="s">
        <v>293</v>
      </c>
      <c r="D71" s="894">
        <v>16</v>
      </c>
      <c r="E71" s="895">
        <v>15</v>
      </c>
      <c r="F71" s="895">
        <v>0</v>
      </c>
      <c r="G71" s="895">
        <v>133</v>
      </c>
      <c r="H71" s="835">
        <f t="shared" si="130"/>
        <v>164</v>
      </c>
      <c r="I71" s="785">
        <f>SUM('Bv Act'!U70)</f>
        <v>15</v>
      </c>
      <c r="J71" s="717">
        <f>SUM('Bv Act'!V70)</f>
        <v>0</v>
      </c>
      <c r="K71" s="787">
        <f t="shared" ref="K71" si="145">SUM(I71+J71)/12</f>
        <v>1.25</v>
      </c>
      <c r="L71" s="708">
        <f>'Bv Act'!E70</f>
        <v>0</v>
      </c>
      <c r="M71" s="707">
        <f t="shared" si="132"/>
        <v>0</v>
      </c>
      <c r="N71" s="785">
        <f>SUM('Bv Act'!X70)</f>
        <v>0</v>
      </c>
      <c r="O71" s="710">
        <f>SUM('Bv Act'!Y70)</f>
        <v>0</v>
      </c>
      <c r="P71" s="786">
        <f t="shared" ref="P71" si="146">SUM(N71+O71)/24</f>
        <v>0</v>
      </c>
      <c r="Q71" s="785">
        <f>SUM('Bv Act'!Z70)</f>
        <v>63</v>
      </c>
      <c r="R71" s="712">
        <f>SUM('Bv Act'!AA70)</f>
        <v>2</v>
      </c>
      <c r="S71" s="710">
        <f>SUM('Bv Act'!AB70)</f>
        <v>0</v>
      </c>
      <c r="T71" s="711">
        <f t="shared" ref="T71" si="147">SUM(Q71+R71+S71)/24</f>
        <v>2.7083333333333335</v>
      </c>
      <c r="U71" s="704">
        <f t="shared" si="135"/>
        <v>80</v>
      </c>
      <c r="V71" s="715">
        <f t="shared" ref="V71" si="148">SUM(I71)*157</f>
        <v>2355</v>
      </c>
      <c r="W71" s="714">
        <f t="shared" ref="W71" si="149">SUM(J71)*102</f>
        <v>0</v>
      </c>
      <c r="X71" s="711">
        <f t="shared" si="138"/>
        <v>0</v>
      </c>
      <c r="Y71" s="715">
        <f t="shared" ref="Y71" si="150">SUM(N71)*67</f>
        <v>0</v>
      </c>
      <c r="Z71" s="787">
        <f t="shared" ref="Z71" si="151">SUM(O71)*48</f>
        <v>0</v>
      </c>
      <c r="AA71" s="786">
        <f t="shared" ref="AA71" si="152">SUM(Q71)*46</f>
        <v>2898</v>
      </c>
      <c r="AB71" s="716">
        <f t="shared" ref="AB71" si="153">SUM(R71)*49</f>
        <v>98</v>
      </c>
      <c r="AC71" s="787">
        <f t="shared" ref="AC71" si="154">SUM(S71)*36.5</f>
        <v>0</v>
      </c>
      <c r="AD71" s="718">
        <f t="shared" si="144"/>
        <v>5351</v>
      </c>
    </row>
    <row r="72" spans="1:66" s="50" customFormat="1" ht="15.75" thickBot="1" x14ac:dyDescent="0.25">
      <c r="A72" s="1066"/>
      <c r="B72" s="856" t="s">
        <v>212</v>
      </c>
      <c r="C72" s="857" t="s">
        <v>213</v>
      </c>
      <c r="D72" s="900">
        <v>13</v>
      </c>
      <c r="E72" s="901">
        <v>5</v>
      </c>
      <c r="F72" s="901">
        <v>15</v>
      </c>
      <c r="G72" s="901">
        <v>38</v>
      </c>
      <c r="H72" s="858">
        <f t="shared" ref="H72" si="155">SUM(D72:G72)</f>
        <v>71</v>
      </c>
      <c r="I72" s="837">
        <f>SUM('Bv Act'!U71)</f>
        <v>13</v>
      </c>
      <c r="J72" s="859">
        <f>SUM('Bv Act'!V71)</f>
        <v>0</v>
      </c>
      <c r="K72" s="860">
        <f t="shared" ref="K72" si="156">SUM(I72+J72)/12</f>
        <v>1.0833333333333333</v>
      </c>
      <c r="L72" s="838">
        <f>'Bv Act'!E71</f>
        <v>0</v>
      </c>
      <c r="M72" s="839">
        <f t="shared" si="132"/>
        <v>0</v>
      </c>
      <c r="N72" s="837">
        <f>SUM('Bv Act'!X71)</f>
        <v>2</v>
      </c>
      <c r="O72" s="861">
        <f>SUM('Bv Act'!Y71)</f>
        <v>0</v>
      </c>
      <c r="P72" s="862">
        <f t="shared" ref="P72" si="157">SUM(N72+O72)/24</f>
        <v>8.3333333333333329E-2</v>
      </c>
      <c r="Q72" s="837">
        <f>SUM('Bv Act'!Z71)</f>
        <v>6</v>
      </c>
      <c r="R72" s="863">
        <f>SUM('Bv Act'!AA71)</f>
        <v>0</v>
      </c>
      <c r="S72" s="861">
        <f>SUM('Bv Act'!AB71)</f>
        <v>0</v>
      </c>
      <c r="T72" s="731">
        <f t="shared" ref="T72" si="158">SUM(Q72+R72+S72)/24</f>
        <v>0.25</v>
      </c>
      <c r="U72" s="728">
        <f t="shared" si="135"/>
        <v>21</v>
      </c>
      <c r="V72" s="864">
        <f t="shared" ref="V72" si="159">SUM(I72)*157</f>
        <v>2041</v>
      </c>
      <c r="W72" s="865">
        <f t="shared" ref="W72" si="160">SUM(J72)*102</f>
        <v>0</v>
      </c>
      <c r="X72" s="731">
        <f t="shared" si="138"/>
        <v>0</v>
      </c>
      <c r="Y72" s="864">
        <f t="shared" ref="Y72" si="161">SUM(N72)*67</f>
        <v>134</v>
      </c>
      <c r="Z72" s="860">
        <f t="shared" ref="Z72" si="162">SUM(O72)*48</f>
        <v>0</v>
      </c>
      <c r="AA72" s="862">
        <f t="shared" ref="AA72" si="163">SUM(Q72)*46</f>
        <v>276</v>
      </c>
      <c r="AB72" s="866">
        <f t="shared" ref="AB72" si="164">SUM(R72)*49</f>
        <v>0</v>
      </c>
      <c r="AC72" s="860">
        <f t="shared" ref="AC72" si="165">SUM(S72)*36.5</f>
        <v>0</v>
      </c>
      <c r="AD72" s="735">
        <f t="shared" si="144"/>
        <v>2451</v>
      </c>
    </row>
    <row r="73" spans="1:66" s="50" customFormat="1" ht="13.5" customHeight="1" thickBot="1" x14ac:dyDescent="0.25">
      <c r="A73" s="668"/>
      <c r="B73" s="755"/>
      <c r="C73" s="867" t="s">
        <v>80</v>
      </c>
      <c r="D73" s="809">
        <f>SUM(D69:D72)</f>
        <v>63</v>
      </c>
      <c r="E73" s="809">
        <f>SUM(E69:E72)</f>
        <v>39</v>
      </c>
      <c r="F73" s="809">
        <f>SUM(F69:F72)</f>
        <v>141</v>
      </c>
      <c r="G73" s="809">
        <f>SUM(G72,G71,G70,G68,G69)</f>
        <v>437</v>
      </c>
      <c r="H73" s="868">
        <f>SUM(H72,H71,H70,H69)</f>
        <v>680</v>
      </c>
      <c r="I73" s="869">
        <f t="shared" ref="I73:X73" si="166">SUM(I69:I72)</f>
        <v>62</v>
      </c>
      <c r="J73" s="870">
        <f t="shared" si="166"/>
        <v>0</v>
      </c>
      <c r="K73" s="871">
        <f t="shared" si="166"/>
        <v>5.166666666666667</v>
      </c>
      <c r="L73" s="871">
        <f t="shared" si="166"/>
        <v>0</v>
      </c>
      <c r="M73" s="871">
        <f t="shared" si="166"/>
        <v>0</v>
      </c>
      <c r="N73" s="872">
        <f>SUM(N69:N72)</f>
        <v>46</v>
      </c>
      <c r="O73" s="868">
        <f t="shared" si="166"/>
        <v>7</v>
      </c>
      <c r="P73" s="871">
        <f t="shared" si="166"/>
        <v>2.2083333333333335</v>
      </c>
      <c r="Q73" s="869">
        <f t="shared" si="166"/>
        <v>160</v>
      </c>
      <c r="R73" s="873">
        <f t="shared" si="166"/>
        <v>4</v>
      </c>
      <c r="S73" s="874">
        <f t="shared" si="166"/>
        <v>2</v>
      </c>
      <c r="T73" s="875">
        <f t="shared" si="166"/>
        <v>6.9166666666666661</v>
      </c>
      <c r="U73" s="872">
        <f>SUM(U69:U72)</f>
        <v>281</v>
      </c>
      <c r="V73" s="871">
        <f t="shared" si="166"/>
        <v>9734</v>
      </c>
      <c r="W73" s="876">
        <f t="shared" si="166"/>
        <v>0</v>
      </c>
      <c r="X73" s="747">
        <f t="shared" si="166"/>
        <v>0</v>
      </c>
      <c r="Y73" s="871">
        <f t="shared" ref="Y73:AD73" si="167">SUM(Y69:Y72)</f>
        <v>3082</v>
      </c>
      <c r="Z73" s="877">
        <f t="shared" si="167"/>
        <v>336</v>
      </c>
      <c r="AA73" s="878">
        <f t="shared" si="167"/>
        <v>7360</v>
      </c>
      <c r="AB73" s="879">
        <f t="shared" si="167"/>
        <v>196</v>
      </c>
      <c r="AC73" s="877">
        <f t="shared" si="167"/>
        <v>73</v>
      </c>
      <c r="AD73" s="871">
        <f t="shared" si="167"/>
        <v>20781</v>
      </c>
    </row>
    <row r="74" spans="1:66" s="81" customFormat="1" ht="15.75" thickBot="1" x14ac:dyDescent="0.25">
      <c r="B74" s="755"/>
      <c r="C74" s="880"/>
      <c r="D74" s="881"/>
      <c r="E74" s="881"/>
      <c r="F74" s="881"/>
      <c r="G74" s="881"/>
      <c r="H74" s="149"/>
      <c r="I74" s="882"/>
      <c r="J74" s="883"/>
      <c r="K74" s="883"/>
      <c r="L74" s="883"/>
      <c r="M74" s="883"/>
      <c r="N74" s="882"/>
      <c r="O74" s="882"/>
      <c r="P74" s="883"/>
      <c r="Q74" s="882"/>
      <c r="R74" s="882"/>
      <c r="S74" s="882"/>
      <c r="T74" s="883"/>
      <c r="U74" s="152"/>
      <c r="V74" s="883"/>
      <c r="W74" s="883"/>
      <c r="X74" s="883"/>
      <c r="Y74" s="883"/>
      <c r="Z74" s="883"/>
      <c r="AA74" s="883"/>
      <c r="AB74" s="883"/>
      <c r="AC74" s="883"/>
      <c r="AD74" s="884"/>
    </row>
    <row r="75" spans="1:66" ht="15.75" thickBot="1" x14ac:dyDescent="0.25">
      <c r="B75" s="755"/>
      <c r="C75" s="885" t="s">
        <v>81</v>
      </c>
      <c r="D75" s="886">
        <f>SUM(D73,D67,D57,D49,D37,D26,D18)</f>
        <v>2655.416666666667</v>
      </c>
      <c r="E75" s="886">
        <f>SUM(E73,E67,E57,E49,E37,E26,E18)</f>
        <v>492.75</v>
      </c>
      <c r="F75" s="886">
        <f>SUM(F73,F67,F57,F49,F37,F26,F18)</f>
        <v>5300</v>
      </c>
      <c r="G75" s="886">
        <f>SUM(G73+G67+G57+G49+G37+G26+G18)</f>
        <v>27098</v>
      </c>
      <c r="H75" s="886">
        <f>SUM(H73+H67+H57+H49+H37+H26+H18)</f>
        <v>35546.166666666664</v>
      </c>
      <c r="I75" s="887">
        <f>SUM(I73+I67+I57+I49+I37+I26+I18)</f>
        <v>2407</v>
      </c>
      <c r="J75" s="888">
        <f t="shared" ref="J75:AC75" si="168">SUM(J73+J67+J57+J49+J37+J26+J18)</f>
        <v>0</v>
      </c>
      <c r="K75" s="886">
        <f>SUM(K73+K67+K57+K49+K37+K26+K18)</f>
        <v>200.58333333333334</v>
      </c>
      <c r="L75" s="886">
        <f>SUM(L73+L67+L57+L49+L37+L26+L18)</f>
        <v>212</v>
      </c>
      <c r="M75" s="886">
        <f>SUM(M73+M67+M57+M49+M37+M26+M18)</f>
        <v>17.666666666666668</v>
      </c>
      <c r="N75" s="887">
        <f>SUM(N73+N67+N57+N49+N37+N26+N18)</f>
        <v>3164</v>
      </c>
      <c r="O75" s="889">
        <f t="shared" si="168"/>
        <v>259</v>
      </c>
      <c r="P75" s="886">
        <f t="shared" si="168"/>
        <v>142.625</v>
      </c>
      <c r="Q75" s="887">
        <f t="shared" si="168"/>
        <v>9440</v>
      </c>
      <c r="R75" s="890">
        <f t="shared" si="168"/>
        <v>292</v>
      </c>
      <c r="S75" s="889">
        <f t="shared" si="168"/>
        <v>758</v>
      </c>
      <c r="T75" s="886">
        <f t="shared" si="168"/>
        <v>437.08333333333331</v>
      </c>
      <c r="U75" s="886">
        <f t="shared" si="168"/>
        <v>16532</v>
      </c>
      <c r="V75" s="891">
        <f t="shared" si="168"/>
        <v>377899</v>
      </c>
      <c r="W75" s="888">
        <f t="shared" si="168"/>
        <v>0</v>
      </c>
      <c r="X75" s="888">
        <f t="shared" si="168"/>
        <v>30952</v>
      </c>
      <c r="Y75" s="891">
        <f t="shared" si="168"/>
        <v>211988</v>
      </c>
      <c r="Z75" s="891">
        <f t="shared" si="168"/>
        <v>12432</v>
      </c>
      <c r="AA75" s="891">
        <f t="shared" si="168"/>
        <v>434240</v>
      </c>
      <c r="AB75" s="891">
        <f t="shared" si="168"/>
        <v>14308</v>
      </c>
      <c r="AC75" s="891">
        <f t="shared" si="168"/>
        <v>27667</v>
      </c>
      <c r="AD75" s="891">
        <f>SUM(AD73,AD67,AD57,AD49,AD37,AD26,AD18)</f>
        <v>1109486</v>
      </c>
    </row>
    <row r="76" spans="1:66" s="75" customFormat="1" ht="15.75" customHeight="1" thickTop="1" x14ac:dyDescent="0.2">
      <c r="B76" s="755"/>
      <c r="C76" s="753"/>
      <c r="D76" s="892"/>
      <c r="E76" s="892"/>
      <c r="F76" s="892"/>
      <c r="G76" s="892"/>
      <c r="H76" s="892"/>
      <c r="I76" s="892"/>
      <c r="J76" s="893"/>
      <c r="K76" s="892"/>
      <c r="L76" s="892"/>
      <c r="M76" s="892"/>
      <c r="N76" s="892"/>
      <c r="O76" s="892"/>
      <c r="P76" s="892"/>
      <c r="Q76" s="892"/>
      <c r="R76" s="892"/>
      <c r="S76" s="892"/>
      <c r="T76" s="892"/>
      <c r="U76" s="892"/>
      <c r="V76" s="893"/>
      <c r="W76" s="893"/>
      <c r="X76" s="893"/>
      <c r="Y76" s="893"/>
      <c r="Z76" s="893"/>
      <c r="AA76" s="893"/>
      <c r="AB76" s="893"/>
      <c r="AC76" s="893"/>
      <c r="AD76" s="893"/>
    </row>
    <row r="77" spans="1:66" s="529" customFormat="1" ht="15.75" customHeight="1" x14ac:dyDescent="0.2">
      <c r="B77" s="755"/>
      <c r="C77" s="753"/>
      <c r="D77" s="892"/>
      <c r="E77" s="892"/>
      <c r="F77" s="892"/>
      <c r="G77" s="892"/>
      <c r="H77" s="892"/>
      <c r="I77" s="892"/>
      <c r="J77" s="893"/>
      <c r="K77" s="892"/>
      <c r="L77" s="892"/>
      <c r="M77" s="892"/>
      <c r="N77" s="892"/>
      <c r="O77" s="892"/>
      <c r="P77" s="892"/>
      <c r="Q77" s="892"/>
      <c r="R77" s="892"/>
      <c r="S77" s="892"/>
      <c r="T77" s="892"/>
      <c r="U77" s="892"/>
      <c r="V77" s="893"/>
      <c r="W77" s="893"/>
      <c r="X77" s="893"/>
      <c r="Y77" s="893"/>
      <c r="Z77" s="893"/>
      <c r="AA77" s="893"/>
      <c r="AB77" s="893"/>
      <c r="AC77" s="893"/>
      <c r="AD77" s="893"/>
    </row>
    <row r="78" spans="1:66" s="529" customFormat="1" ht="15.75" customHeight="1" x14ac:dyDescent="0.2">
      <c r="B78" s="1"/>
      <c r="C78" s="6"/>
      <c r="D78" s="530"/>
      <c r="E78" s="530"/>
      <c r="F78" s="530"/>
      <c r="G78" s="530"/>
      <c r="H78" s="530"/>
      <c r="I78" s="530"/>
      <c r="J78" s="531"/>
      <c r="K78" s="530"/>
      <c r="L78" s="530"/>
      <c r="M78" s="530"/>
      <c r="N78" s="530"/>
      <c r="O78" s="530"/>
      <c r="P78" s="530"/>
      <c r="Q78" s="530"/>
      <c r="R78" s="530"/>
      <c r="S78" s="530"/>
      <c r="T78" s="530"/>
      <c r="U78" s="530"/>
      <c r="V78" s="531"/>
      <c r="W78" s="531"/>
      <c r="X78" s="531"/>
      <c r="Y78" s="531"/>
      <c r="Z78" s="531"/>
      <c r="AA78" s="531"/>
      <c r="AB78" s="531"/>
      <c r="AC78" s="531"/>
      <c r="AD78" s="531"/>
    </row>
    <row r="79" spans="1:66" s="529" customFormat="1" ht="15.75" customHeight="1" x14ac:dyDescent="0.2">
      <c r="B79" s="1"/>
      <c r="C79" s="6"/>
      <c r="D79" s="530"/>
      <c r="E79" s="530"/>
      <c r="F79" s="530"/>
      <c r="G79" s="530"/>
      <c r="H79" s="530"/>
      <c r="I79" s="530"/>
      <c r="J79" s="531"/>
      <c r="K79" s="530"/>
      <c r="L79" s="530"/>
      <c r="M79" s="530"/>
      <c r="N79" s="530"/>
      <c r="O79" s="530"/>
      <c r="P79" s="530"/>
      <c r="Q79" s="530"/>
      <c r="R79" s="530"/>
      <c r="S79" s="530"/>
      <c r="T79" s="530"/>
      <c r="U79" s="530"/>
      <c r="V79" s="531"/>
      <c r="W79" s="531"/>
      <c r="X79" s="531"/>
      <c r="Y79" s="531"/>
      <c r="Z79" s="531"/>
      <c r="AA79" s="531"/>
      <c r="AB79" s="531"/>
      <c r="AC79" s="531"/>
      <c r="AD79" s="531"/>
    </row>
    <row r="80" spans="1:66" s="529" customFormat="1" ht="15.75" customHeight="1" x14ac:dyDescent="0.2">
      <c r="B80" s="144"/>
      <c r="C80" s="145"/>
      <c r="D80" s="81"/>
      <c r="E80" s="81"/>
      <c r="F80" s="81"/>
      <c r="G80" s="81"/>
      <c r="H80" s="81"/>
      <c r="I80" s="146"/>
      <c r="J80" s="147"/>
      <c r="K80" s="147"/>
      <c r="L80" s="147"/>
      <c r="M80" s="147"/>
      <c r="N80" s="146"/>
      <c r="O80" s="146"/>
      <c r="P80" s="147"/>
      <c r="Q80" s="146"/>
      <c r="R80" s="146"/>
      <c r="S80" s="146"/>
      <c r="T80" s="147"/>
      <c r="U80" s="146"/>
      <c r="V80" s="147"/>
      <c r="W80" s="147"/>
      <c r="X80" s="147"/>
      <c r="Y80" s="146"/>
      <c r="Z80" s="146"/>
      <c r="AA80" s="146"/>
      <c r="AB80" s="146"/>
      <c r="AC80" s="146"/>
      <c r="AD80" s="81"/>
    </row>
    <row r="81" spans="1:31" x14ac:dyDescent="0.2">
      <c r="A81" s="81"/>
      <c r="B81" s="81"/>
      <c r="C81" s="81"/>
      <c r="D81" s="148"/>
      <c r="E81" s="148"/>
      <c r="F81" s="96"/>
      <c r="G81" s="81"/>
      <c r="I81" s="81"/>
      <c r="J81" s="81"/>
      <c r="K81" s="146"/>
      <c r="L81" s="146"/>
      <c r="M81" s="146"/>
      <c r="N81" s="147"/>
      <c r="O81" s="147"/>
      <c r="P81" s="146"/>
      <c r="Q81" s="146"/>
      <c r="R81" s="147"/>
      <c r="S81" s="146"/>
      <c r="T81" s="146"/>
      <c r="V81" s="147"/>
      <c r="W81" s="146"/>
      <c r="X81" s="146"/>
      <c r="Y81" s="147"/>
      <c r="Z81" s="147"/>
      <c r="AA81" s="146"/>
      <c r="AB81" s="146"/>
      <c r="AC81" s="146"/>
      <c r="AD81" s="146"/>
    </row>
    <row r="82" spans="1:31" ht="15" x14ac:dyDescent="0.2">
      <c r="A82" s="81"/>
      <c r="B82" s="149" t="s">
        <v>100</v>
      </c>
      <c r="C82" s="1096" t="s">
        <v>101</v>
      </c>
      <c r="D82" s="1096"/>
      <c r="E82" s="653"/>
      <c r="F82" s="139"/>
      <c r="G82" s="139"/>
      <c r="H82" s="139"/>
      <c r="I82" s="1093" t="s">
        <v>102</v>
      </c>
      <c r="J82" s="1093"/>
      <c r="K82" s="1093"/>
      <c r="L82" s="654"/>
      <c r="M82" s="654"/>
      <c r="N82" s="150"/>
      <c r="O82" s="139"/>
      <c r="P82" s="139"/>
      <c r="Q82" s="150"/>
      <c r="R82" s="1093" t="s">
        <v>103</v>
      </c>
      <c r="S82" s="1093"/>
      <c r="T82" s="1093"/>
      <c r="U82" s="150"/>
      <c r="V82" s="151"/>
      <c r="W82" s="139"/>
      <c r="X82" s="139"/>
      <c r="Y82" s="139"/>
      <c r="Z82" s="1093" t="s">
        <v>103</v>
      </c>
      <c r="AA82" s="1093"/>
      <c r="AB82" s="139"/>
      <c r="AC82" s="139"/>
      <c r="AD82" s="152"/>
    </row>
    <row r="83" spans="1:31" ht="15" x14ac:dyDescent="0.2">
      <c r="A83" s="149"/>
      <c r="B83" s="149"/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50"/>
      <c r="O83" s="139"/>
      <c r="P83" s="139"/>
      <c r="Q83" s="150"/>
      <c r="R83" s="139"/>
      <c r="S83" s="139"/>
      <c r="T83" s="150"/>
      <c r="U83" s="150"/>
      <c r="V83" s="151"/>
      <c r="W83" s="139"/>
      <c r="X83" s="139"/>
      <c r="Y83" s="139"/>
      <c r="Z83" s="139"/>
      <c r="AA83" s="139"/>
      <c r="AB83" s="139"/>
      <c r="AC83" s="139"/>
      <c r="AD83" s="152"/>
    </row>
    <row r="84" spans="1:31" ht="15" x14ac:dyDescent="0.2">
      <c r="A84" s="149"/>
      <c r="B84" s="149"/>
      <c r="C84" s="1094" t="s">
        <v>87</v>
      </c>
      <c r="D84" s="1094"/>
      <c r="E84" s="655"/>
      <c r="F84" s="139"/>
      <c r="G84" s="139"/>
      <c r="H84" s="139"/>
      <c r="I84" s="1095" t="s">
        <v>88</v>
      </c>
      <c r="J84" s="1095"/>
      <c r="K84" s="1095"/>
      <c r="L84" s="656"/>
      <c r="M84" s="656"/>
      <c r="N84" s="150"/>
      <c r="O84" s="139"/>
      <c r="P84" s="139"/>
      <c r="Q84" s="150"/>
      <c r="R84" s="1095" t="s">
        <v>225</v>
      </c>
      <c r="S84" s="1095"/>
      <c r="T84" s="1095"/>
      <c r="U84" s="150"/>
      <c r="V84" s="151"/>
      <c r="W84" s="139"/>
      <c r="X84" s="139"/>
      <c r="Y84" s="139"/>
      <c r="Z84" s="1095" t="s">
        <v>89</v>
      </c>
      <c r="AA84" s="1095"/>
      <c r="AB84" s="139"/>
      <c r="AC84" s="139"/>
      <c r="AD84" s="152"/>
    </row>
    <row r="85" spans="1:31" s="81" customFormat="1" ht="15" x14ac:dyDescent="0.2">
      <c r="A85" s="149"/>
      <c r="B85" s="140"/>
      <c r="C85" s="140"/>
      <c r="D85" s="140"/>
      <c r="E85" s="140"/>
      <c r="F85" s="140"/>
      <c r="G85" s="140"/>
      <c r="H85" s="140"/>
      <c r="I85" s="140"/>
      <c r="J85" s="153"/>
      <c r="K85" s="140"/>
      <c r="L85" s="140"/>
      <c r="M85" s="140"/>
      <c r="N85" s="140"/>
      <c r="O85" s="153"/>
      <c r="P85" s="140"/>
      <c r="Q85" s="140"/>
      <c r="R85" s="153"/>
      <c r="S85" s="153"/>
      <c r="T85" s="140"/>
      <c r="U85" s="140"/>
      <c r="V85" s="140"/>
      <c r="W85" s="140"/>
      <c r="X85" s="140"/>
      <c r="Y85" s="140"/>
      <c r="Z85" s="140"/>
      <c r="AA85" s="140"/>
      <c r="AB85" s="146"/>
      <c r="AC85" s="146"/>
    </row>
    <row r="86" spans="1:31" s="81" customFormat="1" x14ac:dyDescent="0.2">
      <c r="A86" s="140"/>
      <c r="B86" s="96"/>
      <c r="C86" s="96"/>
      <c r="I86" s="146"/>
      <c r="J86" s="147"/>
      <c r="K86" s="147"/>
      <c r="L86" s="147"/>
      <c r="M86" s="147"/>
      <c r="N86" s="146"/>
      <c r="O86" s="146"/>
      <c r="P86" s="147"/>
      <c r="Q86" s="146"/>
      <c r="R86" s="146"/>
      <c r="S86" s="146"/>
      <c r="T86" s="147"/>
      <c r="U86" s="146"/>
      <c r="V86" s="147"/>
      <c r="W86" s="147"/>
      <c r="X86" s="147"/>
      <c r="Y86" s="146"/>
      <c r="Z86" s="146"/>
      <c r="AA86" s="146"/>
      <c r="AB86" s="146"/>
      <c r="AC86" s="146"/>
    </row>
    <row r="87" spans="1:31" s="81" customFormat="1" x14ac:dyDescent="0.2">
      <c r="B87" s="96"/>
      <c r="C87" s="96"/>
      <c r="I87" s="146"/>
      <c r="J87" s="147"/>
      <c r="K87" s="147"/>
      <c r="L87" s="147"/>
      <c r="M87" s="147"/>
      <c r="N87" s="146"/>
      <c r="O87" s="146"/>
      <c r="P87" s="147"/>
      <c r="Q87" s="146"/>
      <c r="R87" s="146"/>
      <c r="S87" s="146"/>
      <c r="T87" s="147"/>
      <c r="U87" s="146"/>
      <c r="V87" s="147"/>
      <c r="W87" s="147"/>
      <c r="X87" s="147"/>
      <c r="Y87" s="146"/>
      <c r="Z87" s="146"/>
      <c r="AA87" s="146"/>
      <c r="AB87" s="146"/>
      <c r="AC87" s="146"/>
    </row>
    <row r="88" spans="1:31" s="81" customFormat="1" x14ac:dyDescent="0.2">
      <c r="B88" s="6"/>
      <c r="C88" s="141"/>
      <c r="I88" s="146"/>
      <c r="J88" s="147"/>
      <c r="K88" s="147"/>
      <c r="L88" s="147"/>
      <c r="M88" s="147"/>
      <c r="N88" s="146"/>
      <c r="O88" s="146"/>
      <c r="P88" s="147"/>
      <c r="Q88" s="146"/>
      <c r="R88" s="146"/>
      <c r="S88" s="146"/>
      <c r="T88" s="147"/>
      <c r="U88" s="146"/>
      <c r="V88" s="147"/>
      <c r="W88" s="147"/>
      <c r="X88" s="147"/>
      <c r="Y88" s="146"/>
      <c r="Z88" s="146"/>
      <c r="AA88" s="146"/>
      <c r="AB88" s="146"/>
      <c r="AC88" s="146"/>
      <c r="AE88" s="146"/>
    </row>
    <row r="89" spans="1:31" s="149" customFormat="1" ht="42.75" customHeight="1" x14ac:dyDescent="0.2">
      <c r="A89" s="81"/>
      <c r="B89" s="6"/>
      <c r="C89" s="141"/>
      <c r="D89" s="81"/>
      <c r="E89" s="81"/>
      <c r="F89" s="81"/>
      <c r="G89" s="81"/>
      <c r="H89" s="81"/>
      <c r="I89" s="146"/>
      <c r="J89" s="147"/>
      <c r="K89" s="147"/>
      <c r="L89" s="147"/>
      <c r="M89" s="147"/>
      <c r="N89" s="146"/>
      <c r="O89" s="146"/>
      <c r="P89" s="147"/>
      <c r="Q89" s="146"/>
      <c r="R89" s="146"/>
      <c r="S89" s="146"/>
      <c r="T89" s="147"/>
      <c r="U89" s="146"/>
      <c r="V89" s="147"/>
      <c r="W89" s="147"/>
      <c r="X89" s="147"/>
      <c r="Y89" s="146"/>
      <c r="Z89" s="146"/>
      <c r="AA89" s="146"/>
      <c r="AB89" s="146"/>
      <c r="AC89" s="146"/>
      <c r="AD89" s="81"/>
      <c r="AE89" s="152"/>
    </row>
    <row r="90" spans="1:31" s="149" customFormat="1" ht="15" x14ac:dyDescent="0.2">
      <c r="A90" s="81"/>
      <c r="B90" s="142"/>
      <c r="C90" s="142"/>
      <c r="D90" s="80"/>
      <c r="E90" s="80"/>
      <c r="F90" s="80"/>
      <c r="G90" s="80"/>
      <c r="H90" s="81"/>
      <c r="I90" s="82"/>
      <c r="J90" s="83"/>
      <c r="K90" s="83"/>
      <c r="L90" s="83"/>
      <c r="M90" s="83"/>
      <c r="N90" s="82"/>
      <c r="O90" s="82"/>
      <c r="P90" s="83"/>
      <c r="Q90" s="82"/>
      <c r="R90" s="82"/>
      <c r="S90" s="82"/>
      <c r="T90" s="83"/>
      <c r="U90" s="146"/>
      <c r="V90" s="83"/>
      <c r="W90" s="83"/>
      <c r="X90" s="83"/>
      <c r="Y90" s="82"/>
      <c r="Z90" s="82"/>
      <c r="AA90" s="82"/>
      <c r="AB90" s="82"/>
      <c r="AC90" s="82"/>
      <c r="AD90" s="80"/>
      <c r="AE90" s="152"/>
    </row>
    <row r="91" spans="1:31" s="149" customFormat="1" ht="17.25" customHeight="1" x14ac:dyDescent="0.2">
      <c r="A91" s="80"/>
      <c r="B91" s="142"/>
      <c r="C91" s="137"/>
      <c r="D91" s="80"/>
      <c r="E91" s="80"/>
      <c r="F91" s="80"/>
      <c r="G91" s="80"/>
      <c r="H91" s="81"/>
      <c r="I91" s="82"/>
      <c r="J91" s="83"/>
      <c r="K91" s="83"/>
      <c r="L91" s="83"/>
      <c r="M91" s="83"/>
      <c r="N91" s="82"/>
      <c r="O91" s="82"/>
      <c r="P91" s="83"/>
      <c r="Q91" s="82"/>
      <c r="R91" s="82"/>
      <c r="S91" s="82"/>
      <c r="T91" s="83"/>
      <c r="U91" s="146"/>
      <c r="V91" s="83"/>
      <c r="W91" s="83"/>
      <c r="X91" s="83"/>
      <c r="Y91" s="82"/>
      <c r="Z91" s="82"/>
      <c r="AA91" s="82"/>
      <c r="AB91" s="82"/>
      <c r="AC91" s="82"/>
      <c r="AD91" s="80"/>
      <c r="AE91" s="152"/>
    </row>
    <row r="92" spans="1:31" s="81" customFormat="1" ht="15" x14ac:dyDescent="0.2">
      <c r="A92" s="80"/>
      <c r="B92" s="137"/>
      <c r="C92" s="137"/>
      <c r="D92" s="80"/>
      <c r="E92" s="80"/>
      <c r="F92" s="80"/>
      <c r="G92" s="80"/>
      <c r="I92" s="82"/>
      <c r="J92" s="83"/>
      <c r="K92" s="83"/>
      <c r="L92" s="83"/>
      <c r="M92" s="83"/>
      <c r="N92" s="82"/>
      <c r="O92" s="82"/>
      <c r="P92" s="83"/>
      <c r="Q92" s="82"/>
      <c r="R92" s="82"/>
      <c r="S92" s="82"/>
      <c r="T92" s="83"/>
      <c r="U92" s="146"/>
      <c r="V92" s="83"/>
      <c r="W92" s="83"/>
      <c r="X92" s="83"/>
      <c r="Y92" s="82"/>
      <c r="Z92" s="82"/>
      <c r="AA92" s="82"/>
      <c r="AB92" s="82"/>
      <c r="AC92" s="82"/>
      <c r="AD92" s="80"/>
    </row>
    <row r="93" spans="1:31" s="81" customFormat="1" ht="15" x14ac:dyDescent="0.2">
      <c r="A93" s="80"/>
      <c r="B93" s="137"/>
      <c r="C93" s="137"/>
      <c r="D93" s="80"/>
      <c r="E93" s="80"/>
      <c r="F93" s="80"/>
      <c r="G93" s="80"/>
      <c r="I93" s="82"/>
      <c r="J93" s="83"/>
      <c r="K93" s="83"/>
      <c r="L93" s="83"/>
      <c r="M93" s="83"/>
      <c r="N93" s="82"/>
      <c r="O93" s="82"/>
      <c r="P93" s="83"/>
      <c r="Q93" s="82"/>
      <c r="R93" s="82"/>
      <c r="S93" s="82"/>
      <c r="T93" s="83"/>
      <c r="U93" s="146"/>
      <c r="V93" s="83"/>
      <c r="W93" s="83"/>
      <c r="X93" s="83"/>
      <c r="Y93" s="82"/>
      <c r="Z93" s="82"/>
      <c r="AA93" s="82"/>
      <c r="AB93" s="82"/>
      <c r="AC93" s="82"/>
      <c r="AD93" s="80"/>
    </row>
    <row r="94" spans="1:31" s="81" customFormat="1" ht="15" x14ac:dyDescent="0.2">
      <c r="A94" s="80"/>
      <c r="B94" s="137"/>
      <c r="C94" s="137"/>
      <c r="D94" s="80"/>
      <c r="E94" s="80"/>
      <c r="F94" s="80"/>
      <c r="G94" s="80"/>
      <c r="I94" s="82"/>
      <c r="J94" s="83"/>
      <c r="K94" s="83"/>
      <c r="L94" s="83"/>
      <c r="M94" s="83"/>
      <c r="N94" s="82"/>
      <c r="O94" s="82"/>
      <c r="P94" s="83"/>
      <c r="Q94" s="82"/>
      <c r="R94" s="82"/>
      <c r="S94" s="82"/>
      <c r="T94" s="83"/>
      <c r="U94" s="146"/>
      <c r="V94" s="83"/>
      <c r="W94" s="83"/>
      <c r="X94" s="83"/>
      <c r="Y94" s="82"/>
      <c r="Z94" s="82"/>
      <c r="AA94" s="82"/>
      <c r="AB94" s="82"/>
      <c r="AC94" s="82"/>
      <c r="AD94" s="80"/>
    </row>
    <row r="95" spans="1:31" s="81" customFormat="1" ht="15" x14ac:dyDescent="0.2">
      <c r="A95" s="80"/>
      <c r="B95" s="137"/>
      <c r="C95" s="137"/>
      <c r="D95" s="80"/>
      <c r="E95" s="80"/>
      <c r="F95" s="80"/>
      <c r="G95" s="80"/>
      <c r="I95" s="82"/>
      <c r="J95" s="83"/>
      <c r="K95" s="83"/>
      <c r="L95" s="83"/>
      <c r="M95" s="83"/>
      <c r="N95" s="82"/>
      <c r="O95" s="82"/>
      <c r="P95" s="83"/>
      <c r="Q95" s="82"/>
      <c r="R95" s="82"/>
      <c r="S95" s="82"/>
      <c r="T95" s="83"/>
      <c r="U95" s="146"/>
      <c r="V95" s="83"/>
      <c r="W95" s="83"/>
      <c r="X95" s="83"/>
      <c r="Y95" s="82"/>
      <c r="Z95" s="82"/>
      <c r="AA95" s="82"/>
      <c r="AB95" s="82"/>
      <c r="AC95" s="82"/>
      <c r="AD95" s="80"/>
    </row>
    <row r="96" spans="1:31" s="81" customFormat="1" ht="15" x14ac:dyDescent="0.2">
      <c r="A96" s="80"/>
      <c r="B96" s="137"/>
      <c r="C96" s="137"/>
      <c r="D96" s="80"/>
      <c r="E96" s="80"/>
      <c r="F96" s="80"/>
      <c r="G96" s="80"/>
      <c r="I96" s="82"/>
      <c r="J96" s="83"/>
      <c r="K96" s="83"/>
      <c r="L96" s="83"/>
      <c r="M96" s="83"/>
      <c r="N96" s="82"/>
      <c r="O96" s="82"/>
      <c r="P96" s="83"/>
      <c r="Q96" s="82"/>
      <c r="R96" s="82"/>
      <c r="S96" s="82"/>
      <c r="T96" s="83"/>
      <c r="U96" s="146"/>
      <c r="V96" s="83"/>
      <c r="W96" s="83"/>
      <c r="X96" s="83"/>
      <c r="Y96" s="82"/>
      <c r="Z96" s="82"/>
      <c r="AA96" s="82"/>
      <c r="AB96" s="82"/>
      <c r="AC96" s="82"/>
      <c r="AD96" s="80"/>
    </row>
    <row r="97" spans="2:29" ht="15" x14ac:dyDescent="0.2">
      <c r="B97" s="137"/>
      <c r="C97" s="137"/>
    </row>
    <row r="98" spans="2:29" ht="15" x14ac:dyDescent="0.2">
      <c r="B98" s="137"/>
      <c r="C98" s="137"/>
    </row>
    <row r="99" spans="2:29" ht="15" x14ac:dyDescent="0.2">
      <c r="B99" s="137"/>
      <c r="C99" s="137"/>
    </row>
    <row r="100" spans="2:29" ht="15" x14ac:dyDescent="0.2">
      <c r="B100" s="137"/>
      <c r="C100" s="137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</row>
    <row r="101" spans="2:29" ht="15" x14ac:dyDescent="0.2">
      <c r="B101" s="137"/>
      <c r="C101" s="137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</row>
  </sheetData>
  <mergeCells count="43">
    <mergeCell ref="L6:M6"/>
    <mergeCell ref="M7:M8"/>
    <mergeCell ref="A28:A36"/>
    <mergeCell ref="A20:A25"/>
    <mergeCell ref="C82:D82"/>
    <mergeCell ref="I82:K82"/>
    <mergeCell ref="A69:A72"/>
    <mergeCell ref="A39:A48"/>
    <mergeCell ref="A51:A56"/>
    <mergeCell ref="A59:A66"/>
    <mergeCell ref="E7:E8"/>
    <mergeCell ref="R82:T82"/>
    <mergeCell ref="Z82:AA82"/>
    <mergeCell ref="C84:D84"/>
    <mergeCell ref="I84:K84"/>
    <mergeCell ref="R84:T84"/>
    <mergeCell ref="Z84:AA84"/>
    <mergeCell ref="Q7:S7"/>
    <mergeCell ref="T7:T8"/>
    <mergeCell ref="V7:W7"/>
    <mergeCell ref="Y7:Z7"/>
    <mergeCell ref="A10:A17"/>
    <mergeCell ref="G7:G8"/>
    <mergeCell ref="I7:J7"/>
    <mergeCell ref="K7:K8"/>
    <mergeCell ref="N7:O7"/>
    <mergeCell ref="P7:P8"/>
    <mergeCell ref="A2:AD2"/>
    <mergeCell ref="A5:A8"/>
    <mergeCell ref="B5:B8"/>
    <mergeCell ref="C5:C8"/>
    <mergeCell ref="D5:G5"/>
    <mergeCell ref="H5:H8"/>
    <mergeCell ref="I5:T5"/>
    <mergeCell ref="U5:U8"/>
    <mergeCell ref="V5:AC6"/>
    <mergeCell ref="AD5:AD8"/>
    <mergeCell ref="AA7:AC7"/>
    <mergeCell ref="I6:K6"/>
    <mergeCell ref="N6:P6"/>
    <mergeCell ref="Q6:T6"/>
    <mergeCell ref="D7:D8"/>
    <mergeCell ref="F7:F8"/>
  </mergeCells>
  <pageMargins left="0.2" right="0.15748031496063" top="0.38" bottom="0.2" header="0.38" footer="0.2"/>
  <pageSetup paperSize="5" scale="37" orientation="landscape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CC97"/>
  <sheetViews>
    <sheetView workbookViewId="0">
      <pane xSplit="2" ySplit="8" topLeftCell="T72" activePane="bottomRight" state="frozen"/>
      <selection pane="topRight" activeCell="C1" sqref="C1"/>
      <selection pane="bottomLeft" activeCell="A9" sqref="A9"/>
      <selection pane="bottomRight" activeCell="Z78" sqref="Z78"/>
    </sheetView>
  </sheetViews>
  <sheetFormatPr defaultRowHeight="14.25" x14ac:dyDescent="0.2"/>
  <cols>
    <col min="1" max="1" width="9.140625" style="154"/>
    <col min="2" max="2" width="23.85546875" style="154" customWidth="1"/>
    <col min="3" max="3" width="28.28515625" style="154" customWidth="1"/>
    <col min="4" max="4" width="19.5703125" style="154" customWidth="1"/>
    <col min="5" max="5" width="3.42578125" style="158" customWidth="1"/>
    <col min="6" max="6" width="12" style="167" bestFit="1" customWidth="1"/>
    <col min="7" max="7" width="12.28515625" style="167" bestFit="1" customWidth="1"/>
    <col min="8" max="8" width="10.42578125" style="167" bestFit="1" customWidth="1"/>
    <col min="9" max="9" width="2.28515625" style="166" customWidth="1"/>
    <col min="10" max="10" width="13.5703125" style="167" bestFit="1" customWidth="1"/>
    <col min="11" max="11" width="10.28515625" style="167" bestFit="1" customWidth="1"/>
    <col min="12" max="12" width="12.28515625" style="167" bestFit="1" customWidth="1"/>
    <col min="13" max="13" width="10.28515625" style="167" bestFit="1" customWidth="1"/>
    <col min="14" max="14" width="12.28515625" style="167" bestFit="1" customWidth="1"/>
    <col min="15" max="15" width="10.42578125" style="167" bestFit="1" customWidth="1"/>
    <col min="16" max="16" width="2" style="166" customWidth="1"/>
    <col min="17" max="17" width="13.7109375" style="167" bestFit="1" customWidth="1"/>
    <col min="18" max="19" width="12.28515625" style="167" bestFit="1" customWidth="1"/>
    <col min="20" max="20" width="10.42578125" style="167" bestFit="1" customWidth="1"/>
    <col min="21" max="21" width="12.28515625" style="167" bestFit="1" customWidth="1"/>
    <col min="22" max="22" width="9.7109375" style="167" customWidth="1"/>
    <col min="23" max="23" width="9.85546875" style="167" customWidth="1"/>
    <col min="24" max="25" width="10.42578125" style="167" bestFit="1" customWidth="1"/>
    <col min="26" max="26" width="9.140625" style="154"/>
    <col min="27" max="27" width="15" style="168" bestFit="1" customWidth="1"/>
    <col min="28" max="28" width="15.85546875" style="154" bestFit="1" customWidth="1"/>
    <col min="29" max="16384" width="9.140625" style="154"/>
  </cols>
  <sheetData>
    <row r="3" spans="1:81" ht="19.5" x14ac:dyDescent="0.2">
      <c r="B3" s="155"/>
      <c r="C3" s="155"/>
      <c r="D3" s="87"/>
      <c r="E3" s="159"/>
      <c r="F3" s="156"/>
      <c r="G3" s="156"/>
      <c r="H3" s="156"/>
      <c r="I3" s="390"/>
      <c r="J3" s="156"/>
      <c r="K3" s="156"/>
      <c r="L3" s="156"/>
      <c r="M3" s="156"/>
      <c r="N3" s="156"/>
      <c r="O3" s="156"/>
      <c r="P3" s="390"/>
      <c r="Q3" s="156"/>
      <c r="R3" s="156"/>
      <c r="S3" s="156"/>
      <c r="T3" s="156"/>
      <c r="U3" s="156"/>
      <c r="V3" s="156"/>
      <c r="W3" s="156"/>
      <c r="X3" s="156"/>
      <c r="Y3" s="156"/>
      <c r="Z3" s="87"/>
      <c r="AA3" s="15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7"/>
      <c r="CC3" s="87"/>
    </row>
    <row r="4" spans="1:81" s="158" customFormat="1" ht="19.5" x14ac:dyDescent="0.2">
      <c r="B4" s="1097" t="s">
        <v>310</v>
      </c>
      <c r="C4" s="1097"/>
      <c r="D4" s="1097"/>
      <c r="E4" s="1097"/>
      <c r="F4" s="1097"/>
      <c r="G4" s="1097"/>
      <c r="H4" s="1097"/>
      <c r="I4" s="1097"/>
      <c r="J4" s="1097"/>
      <c r="K4" s="1097"/>
      <c r="L4" s="1097"/>
      <c r="M4" s="1097"/>
      <c r="N4" s="1097"/>
      <c r="O4" s="1097"/>
      <c r="P4" s="1097"/>
      <c r="Q4" s="1097"/>
      <c r="R4" s="1097"/>
      <c r="S4" s="1097"/>
      <c r="T4" s="1097"/>
      <c r="U4" s="1097"/>
      <c r="V4" s="1097"/>
      <c r="W4" s="1097"/>
      <c r="X4" s="1097"/>
      <c r="Y4" s="1097"/>
      <c r="Z4" s="49"/>
      <c r="AA4" s="4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159"/>
      <c r="BL4" s="159"/>
      <c r="BM4" s="159"/>
      <c r="BN4" s="159"/>
      <c r="BO4" s="159"/>
      <c r="BP4" s="159"/>
      <c r="BQ4" s="159"/>
      <c r="BR4" s="159"/>
      <c r="BS4" s="159"/>
      <c r="BT4" s="159"/>
      <c r="BU4" s="159"/>
      <c r="BV4" s="159"/>
      <c r="BW4" s="159"/>
      <c r="BX4" s="159"/>
      <c r="BY4" s="159"/>
      <c r="BZ4" s="159"/>
      <c r="CA4" s="159"/>
      <c r="CB4" s="159"/>
      <c r="CC4" s="159"/>
    </row>
    <row r="5" spans="1:81" ht="13.5" customHeight="1" thickBot="1" x14ac:dyDescent="0.25">
      <c r="A5" s="160"/>
      <c r="B5" s="161"/>
      <c r="C5" s="161"/>
      <c r="D5" s="162"/>
      <c r="E5" s="389"/>
      <c r="F5" s="163"/>
      <c r="G5" s="163">
        <v>157</v>
      </c>
      <c r="H5" s="163">
        <v>157</v>
      </c>
      <c r="I5" s="391"/>
      <c r="J5" s="163"/>
      <c r="K5" s="163">
        <v>67</v>
      </c>
      <c r="L5" s="163">
        <v>67</v>
      </c>
      <c r="M5" s="163">
        <v>67</v>
      </c>
      <c r="N5" s="163">
        <v>67</v>
      </c>
      <c r="O5" s="163">
        <v>48</v>
      </c>
      <c r="P5" s="391"/>
      <c r="Q5" s="163"/>
      <c r="R5" s="163">
        <v>46</v>
      </c>
      <c r="S5" s="163">
        <v>46</v>
      </c>
      <c r="T5" s="163">
        <v>46</v>
      </c>
      <c r="U5" s="163">
        <v>46</v>
      </c>
      <c r="V5" s="163">
        <v>46</v>
      </c>
      <c r="W5" s="163">
        <v>46</v>
      </c>
      <c r="X5" s="163">
        <v>49</v>
      </c>
      <c r="Y5" s="163">
        <v>36.5</v>
      </c>
      <c r="Z5" s="87"/>
      <c r="AA5" s="15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</row>
    <row r="6" spans="1:81" s="158" customFormat="1" x14ac:dyDescent="0.2">
      <c r="B6" s="1054" t="s">
        <v>0</v>
      </c>
      <c r="C6" s="1101" t="s">
        <v>91</v>
      </c>
      <c r="D6" s="1103" t="s">
        <v>90</v>
      </c>
      <c r="E6" s="95"/>
      <c r="F6" s="1105" t="s">
        <v>92</v>
      </c>
      <c r="G6" s="1107" t="s">
        <v>93</v>
      </c>
      <c r="H6" s="1107" t="s">
        <v>94</v>
      </c>
      <c r="I6" s="114"/>
      <c r="J6" s="1105" t="s">
        <v>155</v>
      </c>
      <c r="K6" s="1107" t="s">
        <v>95</v>
      </c>
      <c r="L6" s="1107" t="s">
        <v>93</v>
      </c>
      <c r="M6" s="1107" t="s">
        <v>96</v>
      </c>
      <c r="N6" s="1107" t="s">
        <v>94</v>
      </c>
      <c r="O6" s="1107" t="s">
        <v>62</v>
      </c>
      <c r="P6" s="114"/>
      <c r="Q6" s="1105" t="s">
        <v>97</v>
      </c>
      <c r="R6" s="1107" t="s">
        <v>95</v>
      </c>
      <c r="S6" s="1107" t="s">
        <v>93</v>
      </c>
      <c r="T6" s="1107" t="s">
        <v>96</v>
      </c>
      <c r="U6" s="1107" t="s">
        <v>94</v>
      </c>
      <c r="V6" s="1107" t="s">
        <v>98</v>
      </c>
      <c r="W6" s="1107" t="s">
        <v>99</v>
      </c>
      <c r="X6" s="1107" t="s">
        <v>63</v>
      </c>
      <c r="Y6" s="1107" t="s">
        <v>62</v>
      </c>
      <c r="Z6" s="95"/>
      <c r="AA6" s="11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5"/>
      <c r="CB6" s="95"/>
      <c r="CC6" s="95"/>
    </row>
    <row r="7" spans="1:81" s="158" customFormat="1" ht="15" thickBot="1" x14ac:dyDescent="0.25">
      <c r="B7" s="1056"/>
      <c r="C7" s="1102"/>
      <c r="D7" s="1104"/>
      <c r="E7" s="95"/>
      <c r="F7" s="1106"/>
      <c r="G7" s="1108"/>
      <c r="H7" s="1108"/>
      <c r="I7" s="114"/>
      <c r="J7" s="1106"/>
      <c r="K7" s="1108"/>
      <c r="L7" s="1108"/>
      <c r="M7" s="1108"/>
      <c r="N7" s="1108"/>
      <c r="O7" s="1108"/>
      <c r="P7" s="114"/>
      <c r="Q7" s="1106"/>
      <c r="R7" s="1108"/>
      <c r="S7" s="1108"/>
      <c r="T7" s="1108"/>
      <c r="U7" s="1108"/>
      <c r="V7" s="1108"/>
      <c r="W7" s="1108"/>
      <c r="X7" s="1108"/>
      <c r="Y7" s="1108"/>
      <c r="Z7" s="95"/>
      <c r="AA7" s="11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</row>
    <row r="8" spans="1:81" s="158" customFormat="1" ht="15" thickBot="1" x14ac:dyDescent="0.25">
      <c r="B8" s="112"/>
      <c r="C8" s="164"/>
      <c r="D8" s="95"/>
      <c r="E8" s="95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95"/>
      <c r="AA8" s="11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</row>
    <row r="9" spans="1:81" x14ac:dyDescent="0.2">
      <c r="B9" s="116" t="s">
        <v>1</v>
      </c>
      <c r="C9" s="134" t="s">
        <v>2</v>
      </c>
      <c r="D9" s="121">
        <f>'BV Fig'!AD10</f>
        <v>45851</v>
      </c>
      <c r="E9" s="95"/>
      <c r="F9" s="173">
        <f>'BV Fig'!I10</f>
        <v>117</v>
      </c>
      <c r="G9" s="101">
        <v>117</v>
      </c>
      <c r="H9" s="174"/>
      <c r="I9" s="114"/>
      <c r="J9" s="102">
        <f>'BV Fig'!N10+'BV Fig'!O10</f>
        <v>262</v>
      </c>
      <c r="K9" s="99">
        <v>2</v>
      </c>
      <c r="L9" s="99">
        <v>152</v>
      </c>
      <c r="M9" s="99">
        <v>62</v>
      </c>
      <c r="N9" s="101">
        <v>32</v>
      </c>
      <c r="O9" s="174">
        <v>14</v>
      </c>
      <c r="P9" s="114"/>
      <c r="Q9" s="106">
        <f>'BV Fig'!Q10+'BV Fig'!R10+'BV Fig'!S10</f>
        <v>222</v>
      </c>
      <c r="R9" s="99"/>
      <c r="S9" s="100">
        <v>148</v>
      </c>
      <c r="T9" s="100">
        <v>22</v>
      </c>
      <c r="U9" s="100">
        <v>33</v>
      </c>
      <c r="V9" s="100"/>
      <c r="W9" s="100"/>
      <c r="X9" s="100">
        <v>13</v>
      </c>
      <c r="Y9" s="174">
        <v>6</v>
      </c>
      <c r="Z9" s="93"/>
      <c r="AA9" s="98">
        <f>SUM((G9)+H9)*157+(K9+L9+M9+N9)*67+O9*48+(R9+S9+T9+U9+V9+W9)*46+X9*49+Y9*36.5</f>
        <v>45851</v>
      </c>
      <c r="AB9" s="165">
        <f t="shared" ref="AB9:AB40" si="0">SUM(D9)-AA9</f>
        <v>0</v>
      </c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</row>
    <row r="10" spans="1:81" x14ac:dyDescent="0.2">
      <c r="B10" s="122" t="s">
        <v>3</v>
      </c>
      <c r="C10" s="182" t="s">
        <v>236</v>
      </c>
      <c r="D10" s="125">
        <f>'BV Fig'!AD11</f>
        <v>36332</v>
      </c>
      <c r="E10" s="95"/>
      <c r="F10" s="123">
        <f>'BV Fig'!I11</f>
        <v>72</v>
      </c>
      <c r="G10" s="105"/>
      <c r="H10" s="124">
        <v>72</v>
      </c>
      <c r="I10" s="114"/>
      <c r="J10" s="106">
        <f>'BV Fig'!N11</f>
        <v>228</v>
      </c>
      <c r="K10" s="103"/>
      <c r="L10" s="103"/>
      <c r="M10" s="103"/>
      <c r="N10" s="105">
        <v>228</v>
      </c>
      <c r="O10" s="124"/>
      <c r="P10" s="114"/>
      <c r="Q10" s="106">
        <f>'BV Fig'!Q11+'BV Fig'!R11+'BV Fig'!S11</f>
        <v>212</v>
      </c>
      <c r="R10" s="103"/>
      <c r="S10" s="104"/>
      <c r="T10" s="104"/>
      <c r="U10" s="104">
        <v>212</v>
      </c>
      <c r="V10" s="104"/>
      <c r="W10" s="104"/>
      <c r="X10" s="104"/>
      <c r="Y10" s="124"/>
      <c r="Z10" s="93"/>
      <c r="AA10" s="98">
        <f t="shared" ref="AA10:AA72" si="1">SUM((G10)+H10)*157+(K10+L10+M10+N10)*67+O10*48+(R10+S10+T10+U10+V10+W10)*46+X10*49+Y10*36.5</f>
        <v>36332</v>
      </c>
      <c r="AB10" s="165">
        <f t="shared" si="0"/>
        <v>0</v>
      </c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</row>
    <row r="11" spans="1:81" x14ac:dyDescent="0.2">
      <c r="B11" s="122" t="s">
        <v>4</v>
      </c>
      <c r="C11" s="233" t="s">
        <v>235</v>
      </c>
      <c r="D11" s="125">
        <f>'BV Fig'!AD12</f>
        <v>31217</v>
      </c>
      <c r="E11" s="95"/>
      <c r="F11" s="123">
        <f>'BV Fig'!I12</f>
        <v>46</v>
      </c>
      <c r="G11" s="105">
        <v>46</v>
      </c>
      <c r="H11" s="124"/>
      <c r="I11" s="114"/>
      <c r="J11" s="106">
        <f>'BV Fig'!N12+'BV Fig'!O12</f>
        <v>345</v>
      </c>
      <c r="K11" s="103"/>
      <c r="L11" s="103">
        <v>311</v>
      </c>
      <c r="M11" s="103"/>
      <c r="N11" s="105"/>
      <c r="O11" s="124">
        <v>34</v>
      </c>
      <c r="P11" s="114"/>
      <c r="Q11" s="106">
        <f>'BV Fig'!Q12+'BV Fig'!R12+'BV Fig'!S12</f>
        <v>34</v>
      </c>
      <c r="R11" s="103"/>
      <c r="S11" s="104">
        <v>30</v>
      </c>
      <c r="T11" s="104"/>
      <c r="U11" s="104"/>
      <c r="V11" s="104"/>
      <c r="W11" s="104"/>
      <c r="X11" s="104"/>
      <c r="Y11" s="124">
        <v>4</v>
      </c>
      <c r="Z11" s="93"/>
      <c r="AA11" s="98">
        <f t="shared" si="1"/>
        <v>31217</v>
      </c>
      <c r="AB11" s="165">
        <f t="shared" si="0"/>
        <v>0</v>
      </c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3"/>
      <c r="CC11" s="93"/>
    </row>
    <row r="12" spans="1:81" x14ac:dyDescent="0.2">
      <c r="B12" s="122" t="s">
        <v>231</v>
      </c>
      <c r="C12" s="182" t="str">
        <f>'BV Fig'!C13</f>
        <v>SUMA TRADING(PVT)LTD</v>
      </c>
      <c r="D12" s="125">
        <f>'BV Fig'!AD13</f>
        <v>15445</v>
      </c>
      <c r="E12" s="95"/>
      <c r="F12" s="123">
        <f>'BV Fig'!I13</f>
        <v>57</v>
      </c>
      <c r="G12" s="105">
        <v>57</v>
      </c>
      <c r="H12" s="124"/>
      <c r="I12" s="114"/>
      <c r="J12" s="106">
        <f>'BV Fig'!N13+'BV Fig'!O13</f>
        <v>64</v>
      </c>
      <c r="K12" s="103"/>
      <c r="L12" s="103">
        <v>64</v>
      </c>
      <c r="M12" s="103"/>
      <c r="N12" s="105"/>
      <c r="O12" s="124"/>
      <c r="P12" s="114"/>
      <c r="Q12" s="106">
        <f>'BV Fig'!Q13+'BV Fig'!R13+'BV Fig'!S13</f>
        <v>48</v>
      </c>
      <c r="R12" s="103"/>
      <c r="S12" s="104">
        <v>48</v>
      </c>
      <c r="T12" s="104"/>
      <c r="U12" s="104"/>
      <c r="V12" s="104"/>
      <c r="W12" s="104"/>
      <c r="X12" s="104"/>
      <c r="Y12" s="124"/>
      <c r="Z12" s="93"/>
      <c r="AA12" s="98">
        <f t="shared" ref="AA12" si="2">SUM((G12)+H12)*157+(K12+L12+M12+N12)*67+O12*48+(R12+S12+T12+U12+V12+W12)*46+X12*49+Y12*36.5</f>
        <v>15445</v>
      </c>
      <c r="AB12" s="165">
        <f t="shared" si="0"/>
        <v>0</v>
      </c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</row>
    <row r="13" spans="1:81" x14ac:dyDescent="0.2">
      <c r="B13" s="122" t="s">
        <v>5</v>
      </c>
      <c r="C13" s="182" t="s">
        <v>6</v>
      </c>
      <c r="D13" s="125">
        <f>'BV Fig'!AD14</f>
        <v>68424</v>
      </c>
      <c r="E13" s="95"/>
      <c r="F13" s="123">
        <f>'BV Fig'!I14</f>
        <v>258</v>
      </c>
      <c r="G13" s="105">
        <v>94</v>
      </c>
      <c r="H13" s="124">
        <v>164</v>
      </c>
      <c r="I13" s="114"/>
      <c r="J13" s="106">
        <f>'BV Fig'!N14+'BV Fig'!O14</f>
        <v>344</v>
      </c>
      <c r="K13" s="103">
        <v>46</v>
      </c>
      <c r="L13" s="103">
        <v>148</v>
      </c>
      <c r="M13" s="103">
        <v>50</v>
      </c>
      <c r="N13" s="105">
        <v>52</v>
      </c>
      <c r="O13" s="124">
        <v>48</v>
      </c>
      <c r="P13" s="114"/>
      <c r="Q13" s="106">
        <f>'BV Fig'!Q14+'BV Fig'!R14+'BV Fig'!S14</f>
        <v>127</v>
      </c>
      <c r="R13" s="103">
        <v>4</v>
      </c>
      <c r="S13" s="104">
        <v>50</v>
      </c>
      <c r="T13" s="104">
        <v>30</v>
      </c>
      <c r="U13" s="104">
        <v>13</v>
      </c>
      <c r="V13" s="104"/>
      <c r="W13" s="104"/>
      <c r="X13" s="104">
        <v>18</v>
      </c>
      <c r="Y13" s="124">
        <v>12</v>
      </c>
      <c r="Z13" s="93"/>
      <c r="AA13" s="98">
        <f t="shared" si="1"/>
        <v>68424</v>
      </c>
      <c r="AB13" s="165">
        <f t="shared" si="0"/>
        <v>0</v>
      </c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</row>
    <row r="14" spans="1:81" x14ac:dyDescent="0.2">
      <c r="B14" s="122" t="s">
        <v>7</v>
      </c>
      <c r="C14" s="182" t="s">
        <v>234</v>
      </c>
      <c r="D14" s="125">
        <f>'BV Fig'!AD15</f>
        <v>31018</v>
      </c>
      <c r="E14" s="95"/>
      <c r="F14" s="123">
        <f>'BV Fig'!I15</f>
        <v>16</v>
      </c>
      <c r="G14" s="105">
        <v>8</v>
      </c>
      <c r="H14" s="124">
        <v>8</v>
      </c>
      <c r="I14" s="114"/>
      <c r="J14" s="106">
        <f>'BV Fig'!N15+'BV Fig'!O15</f>
        <v>390</v>
      </c>
      <c r="K14" s="103"/>
      <c r="L14" s="103">
        <f>118+102</f>
        <v>220</v>
      </c>
      <c r="M14" s="103"/>
      <c r="N14" s="105">
        <f>94+76</f>
        <v>170</v>
      </c>
      <c r="O14" s="124"/>
      <c r="P14" s="114"/>
      <c r="Q14" s="106">
        <f>'Bv Act'!Z14+'Bv Act'!AA14+'Bv Act'!AB14</f>
        <v>56</v>
      </c>
      <c r="R14" s="103"/>
      <c r="S14" s="104">
        <v>13</v>
      </c>
      <c r="T14" s="104"/>
      <c r="U14" s="104">
        <v>18</v>
      </c>
      <c r="V14" s="104"/>
      <c r="W14" s="104"/>
      <c r="X14" s="104">
        <v>3</v>
      </c>
      <c r="Y14" s="124">
        <v>22</v>
      </c>
      <c r="Z14" s="93"/>
      <c r="AA14" s="98">
        <f t="shared" si="1"/>
        <v>31018</v>
      </c>
      <c r="AB14" s="165">
        <f t="shared" si="0"/>
        <v>0</v>
      </c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</row>
    <row r="15" spans="1:81" x14ac:dyDescent="0.2">
      <c r="B15" s="122" t="s">
        <v>156</v>
      </c>
      <c r="C15" s="182" t="s">
        <v>302</v>
      </c>
      <c r="D15" s="125">
        <f>'BV Fig'!AD16</f>
        <v>41110</v>
      </c>
      <c r="E15" s="95"/>
      <c r="F15" s="123">
        <f>'BV Fig'!I16</f>
        <v>28</v>
      </c>
      <c r="G15" s="105">
        <v>14</v>
      </c>
      <c r="H15" s="124">
        <v>14</v>
      </c>
      <c r="I15" s="114"/>
      <c r="J15" s="106">
        <f>'BV Fig'!N16+'BV Fig'!O16</f>
        <v>542</v>
      </c>
      <c r="K15" s="103">
        <v>50</v>
      </c>
      <c r="L15" s="103">
        <v>120</v>
      </c>
      <c r="M15" s="103"/>
      <c r="N15" s="105">
        <v>364</v>
      </c>
      <c r="O15" s="124">
        <v>8</v>
      </c>
      <c r="P15" s="114"/>
      <c r="Q15" s="106">
        <f>'BV Fig'!Q16+'BV Fig'!R16+'BV Fig'!S16</f>
        <v>12</v>
      </c>
      <c r="R15" s="103"/>
      <c r="S15" s="104">
        <v>11</v>
      </c>
      <c r="T15" s="104"/>
      <c r="U15" s="104">
        <v>1</v>
      </c>
      <c r="V15" s="104"/>
      <c r="W15" s="104"/>
      <c r="X15" s="104"/>
      <c r="Y15" s="124"/>
      <c r="Z15" s="93"/>
      <c r="AA15" s="98">
        <f t="shared" si="1"/>
        <v>41110</v>
      </c>
      <c r="AB15" s="165">
        <f t="shared" si="0"/>
        <v>0</v>
      </c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</row>
    <row r="16" spans="1:81" ht="15" thickBot="1" x14ac:dyDescent="0.25">
      <c r="B16" s="128" t="s">
        <v>8</v>
      </c>
      <c r="C16" s="183" t="s">
        <v>248</v>
      </c>
      <c r="D16" s="133">
        <f>'BV Fig'!AD17</f>
        <v>18516</v>
      </c>
      <c r="E16" s="95"/>
      <c r="F16" s="175">
        <f>'BV Fig'!I17</f>
        <v>40</v>
      </c>
      <c r="G16" s="109">
        <v>40</v>
      </c>
      <c r="H16" s="176"/>
      <c r="I16" s="114"/>
      <c r="J16" s="110">
        <f>'BV Fig'!N17+'BV Fig'!O17</f>
        <v>68</v>
      </c>
      <c r="K16" s="107"/>
      <c r="L16" s="107">
        <v>36</v>
      </c>
      <c r="M16" s="107"/>
      <c r="N16" s="109">
        <v>10</v>
      </c>
      <c r="O16" s="176">
        <v>22</v>
      </c>
      <c r="P16" s="114"/>
      <c r="Q16" s="110">
        <f>'BV Fig'!Q17+'BV Fig'!R17+'BV Fig'!S17</f>
        <v>184</v>
      </c>
      <c r="R16" s="107">
        <v>14</v>
      </c>
      <c r="S16" s="108">
        <v>89</v>
      </c>
      <c r="T16" s="108">
        <v>10</v>
      </c>
      <c r="U16" s="108">
        <v>18</v>
      </c>
      <c r="V16" s="108"/>
      <c r="W16" s="108"/>
      <c r="X16" s="108">
        <v>11</v>
      </c>
      <c r="Y16" s="176">
        <v>42</v>
      </c>
      <c r="Z16" s="93"/>
      <c r="AA16" s="98">
        <f t="shared" si="1"/>
        <v>18516</v>
      </c>
      <c r="AB16" s="165">
        <f t="shared" si="0"/>
        <v>0</v>
      </c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</row>
    <row r="17" spans="2:81" s="158" customFormat="1" x14ac:dyDescent="0.2">
      <c r="B17" s="1098"/>
      <c r="C17" s="1098"/>
      <c r="D17" s="95"/>
      <c r="E17" s="95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95"/>
      <c r="AA17" s="98">
        <f t="shared" si="1"/>
        <v>0</v>
      </c>
      <c r="AB17" s="165">
        <f t="shared" si="0"/>
        <v>0</v>
      </c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</row>
    <row r="18" spans="2:81" s="158" customFormat="1" ht="15" thickBot="1" x14ac:dyDescent="0.25">
      <c r="B18" s="480"/>
      <c r="C18" s="480"/>
      <c r="D18" s="95"/>
      <c r="E18" s="95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95"/>
      <c r="AA18" s="98">
        <f t="shared" si="1"/>
        <v>0</v>
      </c>
      <c r="AB18" s="165">
        <f t="shared" si="0"/>
        <v>0</v>
      </c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</row>
    <row r="19" spans="2:81" x14ac:dyDescent="0.2">
      <c r="B19" s="188" t="s">
        <v>10</v>
      </c>
      <c r="C19" s="385" t="s">
        <v>214</v>
      </c>
      <c r="D19" s="177">
        <f>'BV Fig'!AD20</f>
        <v>7571.5</v>
      </c>
      <c r="E19" s="95"/>
      <c r="F19" s="173">
        <f>'BV Fig'!I20</f>
        <v>16</v>
      </c>
      <c r="G19" s="101">
        <v>16</v>
      </c>
      <c r="H19" s="174"/>
      <c r="I19" s="114"/>
      <c r="J19" s="102">
        <f>'BV Fig'!N20+'BV Fig'!O20</f>
        <v>18</v>
      </c>
      <c r="K19" s="99"/>
      <c r="L19" s="99">
        <v>18</v>
      </c>
      <c r="M19" s="99"/>
      <c r="N19" s="101"/>
      <c r="O19" s="174"/>
      <c r="P19" s="114"/>
      <c r="Q19" s="102">
        <f>'BV Fig'!Q20+'BV Fig'!R20+'BV Fig'!S20</f>
        <v>85</v>
      </c>
      <c r="R19" s="101"/>
      <c r="S19" s="101">
        <v>58</v>
      </c>
      <c r="T19" s="101"/>
      <c r="U19" s="101"/>
      <c r="V19" s="101"/>
      <c r="W19" s="101"/>
      <c r="X19" s="101">
        <v>16</v>
      </c>
      <c r="Y19" s="174">
        <v>11</v>
      </c>
      <c r="Z19" s="93"/>
      <c r="AA19" s="98">
        <f t="shared" si="1"/>
        <v>7571.5</v>
      </c>
      <c r="AB19" s="165">
        <f t="shared" si="0"/>
        <v>0</v>
      </c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</row>
    <row r="20" spans="2:81" x14ac:dyDescent="0.2">
      <c r="B20" s="122" t="s">
        <v>159</v>
      </c>
      <c r="C20" s="126" t="s">
        <v>249</v>
      </c>
      <c r="D20" s="125">
        <f>'BV Fig'!AD21</f>
        <v>5616.5</v>
      </c>
      <c r="E20" s="95"/>
      <c r="F20" s="123">
        <f>'BV Fig'!I21</f>
        <v>26</v>
      </c>
      <c r="G20" s="105">
        <v>26</v>
      </c>
      <c r="H20" s="124"/>
      <c r="I20" s="114"/>
      <c r="J20" s="106">
        <f>'BV Fig'!N21+'BV Fig'!O21</f>
        <v>0</v>
      </c>
      <c r="K20" s="103"/>
      <c r="L20" s="103"/>
      <c r="M20" s="103"/>
      <c r="N20" s="105"/>
      <c r="O20" s="124"/>
      <c r="P20" s="114"/>
      <c r="Q20" s="106">
        <f>'BV Fig'!Q21+'BV Fig'!R21+'BV Fig'!S21</f>
        <v>34</v>
      </c>
      <c r="R20" s="105">
        <v>17</v>
      </c>
      <c r="S20" s="105">
        <v>6</v>
      </c>
      <c r="T20" s="105"/>
      <c r="U20" s="105"/>
      <c r="V20" s="105"/>
      <c r="W20" s="105"/>
      <c r="X20" s="105">
        <v>6</v>
      </c>
      <c r="Y20" s="124">
        <v>5</v>
      </c>
      <c r="Z20" s="93"/>
      <c r="AA20" s="98">
        <f t="shared" si="1"/>
        <v>5616.5</v>
      </c>
      <c r="AB20" s="165">
        <f t="shared" si="0"/>
        <v>0</v>
      </c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</row>
    <row r="21" spans="2:81" x14ac:dyDescent="0.2">
      <c r="B21" s="122" t="s">
        <v>11</v>
      </c>
      <c r="C21" s="126" t="s">
        <v>12</v>
      </c>
      <c r="D21" s="125">
        <f>'BV Fig'!AD22</f>
        <v>2560</v>
      </c>
      <c r="E21" s="95"/>
      <c r="F21" s="123">
        <f>'BV Fig'!I22</f>
        <v>4</v>
      </c>
      <c r="G21" s="105">
        <v>4</v>
      </c>
      <c r="H21" s="124"/>
      <c r="I21" s="114"/>
      <c r="J21" s="106">
        <f>'BV Fig'!N22+'BV Fig'!O22</f>
        <v>0</v>
      </c>
      <c r="K21" s="103"/>
      <c r="L21" s="103"/>
      <c r="M21" s="103"/>
      <c r="N21" s="105"/>
      <c r="O21" s="124"/>
      <c r="P21" s="114"/>
      <c r="Q21" s="106">
        <f>'BV Fig'!Q22+'BV Fig'!R22+'BV Fig'!S22</f>
        <v>42</v>
      </c>
      <c r="R21" s="105"/>
      <c r="S21" s="105">
        <v>42</v>
      </c>
      <c r="T21" s="105"/>
      <c r="U21" s="105"/>
      <c r="V21" s="105"/>
      <c r="W21" s="105"/>
      <c r="X21" s="105"/>
      <c r="Y21" s="124"/>
      <c r="Z21" s="93"/>
      <c r="AA21" s="98">
        <f t="shared" si="1"/>
        <v>2560</v>
      </c>
      <c r="AB21" s="165">
        <f t="shared" si="0"/>
        <v>0</v>
      </c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</row>
    <row r="22" spans="2:81" x14ac:dyDescent="0.2">
      <c r="B22" s="122" t="s">
        <v>13</v>
      </c>
      <c r="C22" s="127" t="s">
        <v>261</v>
      </c>
      <c r="D22" s="125">
        <f>'BV Fig'!AD23</f>
        <v>15151</v>
      </c>
      <c r="E22" s="95"/>
      <c r="F22" s="123">
        <f>'BV Fig'!I23</f>
        <v>65</v>
      </c>
      <c r="G22" s="105">
        <v>65</v>
      </c>
      <c r="H22" s="124"/>
      <c r="I22" s="114"/>
      <c r="J22" s="106">
        <f>'BV Fig'!N23+'BV Fig'!O23</f>
        <v>24</v>
      </c>
      <c r="K22" s="103">
        <v>5</v>
      </c>
      <c r="L22" s="103">
        <v>14</v>
      </c>
      <c r="M22" s="103"/>
      <c r="N22" s="105"/>
      <c r="O22" s="124">
        <v>5</v>
      </c>
      <c r="P22" s="114"/>
      <c r="Q22" s="106">
        <f>'BV Fig'!Q23+'BV Fig'!R23+'BV Fig'!S23</f>
        <v>75</v>
      </c>
      <c r="R22" s="105">
        <v>11</v>
      </c>
      <c r="S22" s="105">
        <v>35</v>
      </c>
      <c r="T22" s="105">
        <v>17</v>
      </c>
      <c r="U22" s="105">
        <v>1</v>
      </c>
      <c r="V22" s="105"/>
      <c r="W22" s="105"/>
      <c r="X22" s="105">
        <v>7</v>
      </c>
      <c r="Y22" s="124">
        <v>4</v>
      </c>
      <c r="Z22" s="93"/>
      <c r="AA22" s="98">
        <f t="shared" si="1"/>
        <v>15151</v>
      </c>
      <c r="AB22" s="165">
        <f t="shared" si="0"/>
        <v>0</v>
      </c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</row>
    <row r="23" spans="2:81" x14ac:dyDescent="0.2">
      <c r="B23" s="234" t="s">
        <v>278</v>
      </c>
      <c r="C23" s="489" t="str">
        <f>'BV Fig'!C24</f>
        <v>G.M.S.R.S.KUMARA</v>
      </c>
      <c r="D23" s="125">
        <f>'BV Fig'!AD24</f>
        <v>15646</v>
      </c>
      <c r="E23" s="95"/>
      <c r="F23" s="123">
        <f>'BV Fig'!I24</f>
        <v>41</v>
      </c>
      <c r="G23" s="237">
        <v>40</v>
      </c>
      <c r="H23" s="238">
        <v>1</v>
      </c>
      <c r="I23" s="114"/>
      <c r="J23" s="106">
        <f>'BV Fig'!N24+'BV Fig'!O24</f>
        <v>0</v>
      </c>
      <c r="K23" s="239"/>
      <c r="L23" s="239"/>
      <c r="M23" s="239"/>
      <c r="N23" s="237"/>
      <c r="O23" s="238"/>
      <c r="P23" s="114"/>
      <c r="Q23" s="106">
        <f>'BV Fig'!Q24+'BV Fig'!R24+'BV Fig'!S24</f>
        <v>203</v>
      </c>
      <c r="R23" s="237"/>
      <c r="S23" s="237">
        <v>146</v>
      </c>
      <c r="T23" s="237"/>
      <c r="U23" s="237"/>
      <c r="V23" s="237"/>
      <c r="W23" s="237"/>
      <c r="X23" s="237">
        <v>33</v>
      </c>
      <c r="Y23" s="238">
        <v>24</v>
      </c>
      <c r="Z23" s="93"/>
      <c r="AA23" s="98">
        <f>SUM((G23)+H23)*157+(K23+L23+M23+N23)*67+O23*48+(R23+S23+T23+U23+V23+W23)*46+X23*49+Y23*36.5</f>
        <v>15646</v>
      </c>
      <c r="AB23" s="165">
        <f t="shared" si="0"/>
        <v>0</v>
      </c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</row>
    <row r="24" spans="2:81" ht="15" thickBot="1" x14ac:dyDescent="0.25">
      <c r="B24" s="189" t="s">
        <v>226</v>
      </c>
      <c r="C24" s="386" t="s">
        <v>251</v>
      </c>
      <c r="D24" s="178">
        <f>'BV Fig'!AD25</f>
        <v>10559</v>
      </c>
      <c r="E24" s="95"/>
      <c r="F24" s="175">
        <f>'BV Fig'!I25</f>
        <v>28</v>
      </c>
      <c r="G24" s="109">
        <v>21</v>
      </c>
      <c r="H24" s="176">
        <v>7</v>
      </c>
      <c r="I24" s="114"/>
      <c r="J24" s="110">
        <f>'BV Fig'!N25+'BV Fig'!O25</f>
        <v>36</v>
      </c>
      <c r="K24" s="107">
        <v>6</v>
      </c>
      <c r="L24" s="107">
        <v>22</v>
      </c>
      <c r="M24" s="107"/>
      <c r="N24" s="109"/>
      <c r="O24" s="176">
        <v>8</v>
      </c>
      <c r="P24" s="114"/>
      <c r="Q24" s="110">
        <f>'BV Fig'!Q25+'BV Fig'!R25+'BV Fig'!S25</f>
        <v>85</v>
      </c>
      <c r="R24" s="109">
        <v>42</v>
      </c>
      <c r="S24" s="109">
        <v>26</v>
      </c>
      <c r="T24" s="109">
        <v>5</v>
      </c>
      <c r="U24" s="109">
        <v>6</v>
      </c>
      <c r="V24" s="109"/>
      <c r="W24" s="109"/>
      <c r="X24" s="109">
        <v>4</v>
      </c>
      <c r="Y24" s="176">
        <v>2</v>
      </c>
      <c r="Z24" s="93"/>
      <c r="AA24" s="98">
        <f>SUM((G24)+H24)*157+(K24+L24+M24+N24)*67+O24*48+(R24+S24+T24+U24+V24+W24)*46+X24*49+Y24*36.5</f>
        <v>10559</v>
      </c>
      <c r="AB24" s="165">
        <f t="shared" si="0"/>
        <v>0</v>
      </c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</row>
    <row r="25" spans="2:81" s="158" customFormat="1" x14ac:dyDescent="0.2">
      <c r="B25" s="1098"/>
      <c r="C25" s="1098"/>
      <c r="D25" s="95"/>
      <c r="E25" s="95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95"/>
      <c r="AA25" s="98">
        <f t="shared" si="1"/>
        <v>0</v>
      </c>
      <c r="AB25" s="165">
        <f t="shared" si="0"/>
        <v>0</v>
      </c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</row>
    <row r="26" spans="2:81" s="158" customFormat="1" ht="15" thickBot="1" x14ac:dyDescent="0.25">
      <c r="B26" s="480"/>
      <c r="C26" s="480"/>
      <c r="D26" s="95"/>
      <c r="E26" s="95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95"/>
      <c r="AA26" s="98">
        <f t="shared" si="1"/>
        <v>0</v>
      </c>
      <c r="AB26" s="165">
        <f t="shared" si="0"/>
        <v>0</v>
      </c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</row>
    <row r="27" spans="2:81" x14ac:dyDescent="0.2">
      <c r="B27" s="188" t="s">
        <v>15</v>
      </c>
      <c r="C27" s="184" t="s">
        <v>237</v>
      </c>
      <c r="D27" s="177">
        <f>'BV Fig'!AD28</f>
        <v>26798.5</v>
      </c>
      <c r="E27" s="95"/>
      <c r="F27" s="173">
        <f>'BV Fig'!I28</f>
        <v>22</v>
      </c>
      <c r="G27" s="101">
        <v>22</v>
      </c>
      <c r="H27" s="174"/>
      <c r="I27" s="114"/>
      <c r="J27" s="102">
        <f>'BV Fig'!N28+'BV Fig'!O28</f>
        <v>14</v>
      </c>
      <c r="K27" s="99"/>
      <c r="L27" s="99">
        <v>10</v>
      </c>
      <c r="M27" s="99"/>
      <c r="N27" s="101"/>
      <c r="O27" s="174">
        <v>4</v>
      </c>
      <c r="P27" s="114"/>
      <c r="Q27" s="102">
        <f>'BV Fig'!Q28+'BV Fig'!R28+'BV Fig'!S28</f>
        <v>503</v>
      </c>
      <c r="R27" s="101"/>
      <c r="S27" s="101">
        <v>434</v>
      </c>
      <c r="T27" s="101"/>
      <c r="U27" s="101"/>
      <c r="V27" s="101"/>
      <c r="W27" s="101"/>
      <c r="X27" s="101"/>
      <c r="Y27" s="174">
        <v>69</v>
      </c>
      <c r="Z27" s="93"/>
      <c r="AA27" s="98">
        <f t="shared" si="1"/>
        <v>26798.5</v>
      </c>
      <c r="AB27" s="165">
        <f t="shared" si="0"/>
        <v>0</v>
      </c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</row>
    <row r="28" spans="2:81" x14ac:dyDescent="0.2">
      <c r="B28" s="122" t="s">
        <v>16</v>
      </c>
      <c r="C28" s="185" t="s">
        <v>252</v>
      </c>
      <c r="D28" s="125">
        <f>'BV Fig'!AD29</f>
        <v>34234</v>
      </c>
      <c r="E28" s="95"/>
      <c r="F28" s="123">
        <f>'BV Fig'!I29</f>
        <v>50</v>
      </c>
      <c r="G28" s="105">
        <v>50</v>
      </c>
      <c r="H28" s="124"/>
      <c r="I28" s="114"/>
      <c r="J28" s="106">
        <f>'BV Fig'!N29+'BV Fig'!O29</f>
        <v>38</v>
      </c>
      <c r="K28" s="103"/>
      <c r="L28" s="103">
        <v>38</v>
      </c>
      <c r="M28" s="103"/>
      <c r="N28" s="105"/>
      <c r="O28" s="124"/>
      <c r="P28" s="114"/>
      <c r="Q28" s="106">
        <f>'BV Fig'!Q29+'BV Fig'!R29+'BV Fig'!S29</f>
        <v>534</v>
      </c>
      <c r="R28" s="105">
        <v>74</v>
      </c>
      <c r="S28" s="105">
        <v>238</v>
      </c>
      <c r="T28" s="105">
        <v>49</v>
      </c>
      <c r="U28" s="105">
        <v>65</v>
      </c>
      <c r="V28" s="105"/>
      <c r="W28" s="105"/>
      <c r="X28" s="105">
        <v>24</v>
      </c>
      <c r="Y28" s="124">
        <v>84</v>
      </c>
      <c r="Z28" s="93"/>
      <c r="AA28" s="98">
        <f t="shared" si="1"/>
        <v>34234</v>
      </c>
      <c r="AB28" s="165">
        <f t="shared" si="0"/>
        <v>0</v>
      </c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</row>
    <row r="29" spans="2:81" x14ac:dyDescent="0.2">
      <c r="B29" s="122" t="s">
        <v>17</v>
      </c>
      <c r="C29" s="185" t="s">
        <v>238</v>
      </c>
      <c r="D29" s="125">
        <f>'BV Fig'!AD30</f>
        <v>34738</v>
      </c>
      <c r="E29" s="95"/>
      <c r="F29" s="123">
        <f>'BV Fig'!I30</f>
        <v>41</v>
      </c>
      <c r="G29" s="105">
        <v>41</v>
      </c>
      <c r="H29" s="124"/>
      <c r="I29" s="114"/>
      <c r="J29" s="106">
        <f>'BV Fig'!N30+'BV Fig'!O30</f>
        <v>60</v>
      </c>
      <c r="K29" s="103"/>
      <c r="L29" s="103">
        <v>52</v>
      </c>
      <c r="M29" s="103"/>
      <c r="N29" s="105"/>
      <c r="O29" s="124">
        <v>8</v>
      </c>
      <c r="P29" s="114"/>
      <c r="Q29" s="106">
        <f>'BV Fig'!Q30+'BV Fig'!R30+'BV Fig'!S30</f>
        <v>545</v>
      </c>
      <c r="R29" s="105"/>
      <c r="S29" s="105">
        <v>449</v>
      </c>
      <c r="T29" s="105"/>
      <c r="U29" s="105"/>
      <c r="V29" s="105"/>
      <c r="W29" s="105"/>
      <c r="X29" s="105">
        <v>22</v>
      </c>
      <c r="Y29" s="124">
        <v>74</v>
      </c>
      <c r="Z29" s="93"/>
      <c r="AA29" s="98">
        <f t="shared" si="1"/>
        <v>34738</v>
      </c>
      <c r="AB29" s="165">
        <f t="shared" si="0"/>
        <v>0</v>
      </c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</row>
    <row r="30" spans="2:81" x14ac:dyDescent="0.2">
      <c r="B30" s="122" t="s">
        <v>18</v>
      </c>
      <c r="C30" s="185" t="str">
        <f>'BV Fig'!C31</f>
        <v>P.W.N.DAMAYANTHI</v>
      </c>
      <c r="D30" s="125">
        <f>'BV Fig'!AD31</f>
        <v>32068</v>
      </c>
      <c r="E30" s="95"/>
      <c r="F30" s="123">
        <f>'BV Fig'!I31</f>
        <v>56</v>
      </c>
      <c r="G30" s="105">
        <v>56</v>
      </c>
      <c r="H30" s="124"/>
      <c r="I30" s="114"/>
      <c r="J30" s="106">
        <f>'BV Fig'!N31+'BV Fig'!O31</f>
        <v>84</v>
      </c>
      <c r="K30" s="103"/>
      <c r="L30" s="103">
        <v>76</v>
      </c>
      <c r="M30" s="103"/>
      <c r="N30" s="105"/>
      <c r="O30" s="124">
        <v>8</v>
      </c>
      <c r="P30" s="114"/>
      <c r="Q30" s="106">
        <f>'BV Fig'!Q31+'BV Fig'!R31+'BV Fig'!S31</f>
        <v>401</v>
      </c>
      <c r="R30" s="105"/>
      <c r="S30" s="105">
        <v>333</v>
      </c>
      <c r="T30" s="105"/>
      <c r="U30" s="105"/>
      <c r="V30" s="105"/>
      <c r="W30" s="105"/>
      <c r="X30" s="105"/>
      <c r="Y30" s="124">
        <v>68</v>
      </c>
      <c r="Z30" s="93"/>
      <c r="AA30" s="98">
        <f t="shared" si="1"/>
        <v>32068</v>
      </c>
      <c r="AB30" s="165">
        <f t="shared" si="0"/>
        <v>0</v>
      </c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</row>
    <row r="31" spans="2:81" x14ac:dyDescent="0.2">
      <c r="B31" s="122" t="s">
        <v>19</v>
      </c>
      <c r="C31" s="185" t="s">
        <v>241</v>
      </c>
      <c r="D31" s="125">
        <f>'BV Fig'!AD32</f>
        <v>54079</v>
      </c>
      <c r="E31" s="95"/>
      <c r="F31" s="123">
        <f>'BV Fig'!I32</f>
        <v>62</v>
      </c>
      <c r="G31" s="105">
        <v>62</v>
      </c>
      <c r="H31" s="124"/>
      <c r="I31" s="114"/>
      <c r="J31" s="106">
        <f>'BV Fig'!N32+'BV Fig'!O32</f>
        <v>70</v>
      </c>
      <c r="K31" s="103"/>
      <c r="L31" s="103">
        <v>68</v>
      </c>
      <c r="M31" s="103"/>
      <c r="N31" s="105"/>
      <c r="O31" s="124">
        <v>2</v>
      </c>
      <c r="P31" s="114"/>
      <c r="Q31" s="106">
        <f>847+20</f>
        <v>867</v>
      </c>
      <c r="R31" s="105"/>
      <c r="S31" s="105">
        <v>847</v>
      </c>
      <c r="T31" s="105"/>
      <c r="U31" s="105"/>
      <c r="V31" s="105"/>
      <c r="W31" s="105"/>
      <c r="X31" s="105"/>
      <c r="Y31" s="124">
        <v>20</v>
      </c>
      <c r="Z31" s="93"/>
      <c r="AA31" s="98">
        <f t="shared" si="1"/>
        <v>54078</v>
      </c>
      <c r="AB31" s="165">
        <f t="shared" si="0"/>
        <v>1</v>
      </c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</row>
    <row r="32" spans="2:81" x14ac:dyDescent="0.2">
      <c r="B32" s="122" t="s">
        <v>20</v>
      </c>
      <c r="C32" s="185" t="s">
        <v>240</v>
      </c>
      <c r="D32" s="125">
        <f>'BV Fig'!AD33</f>
        <v>51679.5</v>
      </c>
      <c r="E32" s="95"/>
      <c r="F32" s="123">
        <f>'BV Fig'!I33</f>
        <v>35</v>
      </c>
      <c r="G32" s="105">
        <v>35</v>
      </c>
      <c r="H32" s="124"/>
      <c r="I32" s="114"/>
      <c r="J32" s="106">
        <f>'BV Fig'!N33+'BV Fig'!O33</f>
        <v>8</v>
      </c>
      <c r="K32" s="103"/>
      <c r="L32" s="103"/>
      <c r="M32" s="103">
        <v>2</v>
      </c>
      <c r="N32" s="105"/>
      <c r="O32" s="124">
        <v>6</v>
      </c>
      <c r="P32" s="114"/>
      <c r="Q32" s="106">
        <f>940+69</f>
        <v>1009</v>
      </c>
      <c r="R32" s="105"/>
      <c r="S32" s="105">
        <v>940</v>
      </c>
      <c r="T32" s="105"/>
      <c r="U32" s="105"/>
      <c r="V32" s="105"/>
      <c r="W32" s="105"/>
      <c r="X32" s="105"/>
      <c r="Y32" s="124">
        <v>69</v>
      </c>
      <c r="Z32" s="93"/>
      <c r="AA32" s="98">
        <f t="shared" si="1"/>
        <v>51675.5</v>
      </c>
      <c r="AB32" s="165">
        <f t="shared" si="0"/>
        <v>4</v>
      </c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3"/>
      <c r="CC32" s="93"/>
    </row>
    <row r="33" spans="2:81" x14ac:dyDescent="0.2">
      <c r="B33" s="122" t="s">
        <v>21</v>
      </c>
      <c r="C33" s="185" t="s">
        <v>239</v>
      </c>
      <c r="D33" s="125">
        <f>'BV Fig'!AD34</f>
        <v>19076</v>
      </c>
      <c r="E33" s="95"/>
      <c r="F33" s="123">
        <f>'BV Fig'!I34</f>
        <v>12</v>
      </c>
      <c r="G33" s="105">
        <v>12</v>
      </c>
      <c r="H33" s="124"/>
      <c r="I33" s="114"/>
      <c r="J33" s="106">
        <f>'BV Fig'!N34+'BV Fig'!O34</f>
        <v>32</v>
      </c>
      <c r="K33" s="103"/>
      <c r="L33" s="103">
        <v>26</v>
      </c>
      <c r="M33" s="103"/>
      <c r="N33" s="105"/>
      <c r="O33" s="124">
        <v>6</v>
      </c>
      <c r="P33" s="114"/>
      <c r="Q33" s="106">
        <f>'BV Fig'!Q34+'BV Fig'!R34+'BV Fig'!S34</f>
        <v>342</v>
      </c>
      <c r="R33" s="105"/>
      <c r="S33" s="105">
        <v>282</v>
      </c>
      <c r="T33" s="105"/>
      <c r="U33" s="105"/>
      <c r="V33" s="105"/>
      <c r="W33" s="105"/>
      <c r="X33" s="105"/>
      <c r="Y33" s="124">
        <v>60</v>
      </c>
      <c r="Z33" s="93"/>
      <c r="AA33" s="98">
        <f t="shared" si="1"/>
        <v>19076</v>
      </c>
      <c r="AB33" s="165">
        <f t="shared" si="0"/>
        <v>0</v>
      </c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</row>
    <row r="34" spans="2:81" x14ac:dyDescent="0.2">
      <c r="B34" s="234" t="s">
        <v>279</v>
      </c>
      <c r="C34" s="241" t="str">
        <f>'BV Fig'!C35</f>
        <v>D.C.PIYANTHA KUMARA</v>
      </c>
      <c r="D34" s="125">
        <f>'BV Fig'!AD35</f>
        <v>23848.5</v>
      </c>
      <c r="E34" s="95"/>
      <c r="F34" s="123">
        <f>'BV Fig'!I35</f>
        <v>37</v>
      </c>
      <c r="G34" s="105">
        <v>37</v>
      </c>
      <c r="H34" s="238"/>
      <c r="I34" s="114"/>
      <c r="J34" s="106">
        <f>'BV Fig'!N35+'BV Fig'!O35</f>
        <v>36</v>
      </c>
      <c r="K34" s="239"/>
      <c r="L34" s="239">
        <v>10</v>
      </c>
      <c r="M34" s="239"/>
      <c r="N34" s="237"/>
      <c r="O34" s="238">
        <v>26</v>
      </c>
      <c r="P34" s="114"/>
      <c r="Q34" s="106">
        <f>'BV Fig'!Q35+'BV Fig'!R35+'BV Fig'!S35</f>
        <v>363</v>
      </c>
      <c r="R34" s="237"/>
      <c r="S34" s="237">
        <v>301</v>
      </c>
      <c r="T34" s="237"/>
      <c r="U34" s="237"/>
      <c r="V34" s="237"/>
      <c r="W34" s="237"/>
      <c r="X34" s="237">
        <v>1</v>
      </c>
      <c r="Y34" s="238">
        <v>61</v>
      </c>
      <c r="Z34" s="93"/>
      <c r="AA34" s="98">
        <f t="shared" si="1"/>
        <v>23848.5</v>
      </c>
      <c r="AB34" s="165">
        <f t="shared" si="0"/>
        <v>0</v>
      </c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3"/>
      <c r="CC34" s="93"/>
    </row>
    <row r="35" spans="2:81" ht="15" thickBot="1" x14ac:dyDescent="0.25">
      <c r="B35" s="189" t="s">
        <v>22</v>
      </c>
      <c r="C35" s="186" t="s">
        <v>165</v>
      </c>
      <c r="D35" s="178">
        <f>'BV Fig'!AD36</f>
        <v>25429.5</v>
      </c>
      <c r="E35" s="95"/>
      <c r="F35" s="175">
        <f>'BV Fig'!I36</f>
        <v>32</v>
      </c>
      <c r="G35" s="109">
        <v>32</v>
      </c>
      <c r="H35" s="176"/>
      <c r="I35" s="114"/>
      <c r="J35" s="110">
        <f>'BV Fig'!N36+'BV Fig'!O36</f>
        <v>0</v>
      </c>
      <c r="K35" s="107"/>
      <c r="L35" s="107"/>
      <c r="M35" s="107"/>
      <c r="N35" s="109"/>
      <c r="O35" s="176"/>
      <c r="P35" s="114"/>
      <c r="Q35" s="110">
        <f>'BV Fig'!Q36+'BV Fig'!R36+'BV Fig'!S36</f>
        <v>450</v>
      </c>
      <c r="R35" s="109"/>
      <c r="S35" s="109">
        <v>419</v>
      </c>
      <c r="T35" s="109"/>
      <c r="U35" s="109"/>
      <c r="V35" s="109"/>
      <c r="W35" s="109"/>
      <c r="X35" s="109"/>
      <c r="Y35" s="176">
        <v>31</v>
      </c>
      <c r="Z35" s="93"/>
      <c r="AA35" s="98">
        <f t="shared" si="1"/>
        <v>25429.5</v>
      </c>
      <c r="AB35" s="165">
        <f t="shared" si="0"/>
        <v>0</v>
      </c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3"/>
      <c r="CC35" s="93"/>
    </row>
    <row r="36" spans="2:81" s="158" customFormat="1" x14ac:dyDescent="0.2">
      <c r="B36" s="1098"/>
      <c r="C36" s="1098"/>
      <c r="D36" s="95"/>
      <c r="E36" s="95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95"/>
      <c r="AA36" s="98">
        <f t="shared" si="1"/>
        <v>0</v>
      </c>
      <c r="AB36" s="165">
        <f t="shared" si="0"/>
        <v>0</v>
      </c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</row>
    <row r="37" spans="2:81" s="158" customFormat="1" ht="15" thickBot="1" x14ac:dyDescent="0.25">
      <c r="B37" s="480"/>
      <c r="C37" s="480"/>
      <c r="D37" s="95"/>
      <c r="E37" s="95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95"/>
      <c r="AA37" s="98">
        <f t="shared" si="1"/>
        <v>0</v>
      </c>
      <c r="AB37" s="165">
        <f t="shared" si="0"/>
        <v>0</v>
      </c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5"/>
      <c r="CC37" s="95"/>
    </row>
    <row r="38" spans="2:81" x14ac:dyDescent="0.2">
      <c r="B38" s="188" t="s">
        <v>23</v>
      </c>
      <c r="C38" s="184" t="s">
        <v>24</v>
      </c>
      <c r="D38" s="177">
        <f>'BV Fig'!AD39</f>
        <v>11271</v>
      </c>
      <c r="E38" s="95"/>
      <c r="F38" s="173">
        <f>'BV Fig'!I39</f>
        <v>17</v>
      </c>
      <c r="G38" s="101">
        <v>17</v>
      </c>
      <c r="H38" s="174"/>
      <c r="I38" s="114"/>
      <c r="J38" s="102">
        <f>'BV Fig'!N39+'BV Fig'!O39</f>
        <v>0</v>
      </c>
      <c r="K38" s="99"/>
      <c r="L38" s="99"/>
      <c r="M38" s="99"/>
      <c r="N38" s="101"/>
      <c r="O38" s="174"/>
      <c r="P38" s="114"/>
      <c r="Q38" s="102">
        <f>'BV Fig'!Q39+'BV Fig'!R39+'BV Fig'!S39</f>
        <v>187</v>
      </c>
      <c r="R38" s="99"/>
      <c r="S38" s="100">
        <v>187</v>
      </c>
      <c r="T38" s="100"/>
      <c r="U38" s="100"/>
      <c r="V38" s="100"/>
      <c r="W38" s="100"/>
      <c r="X38" s="100"/>
      <c r="Y38" s="174"/>
      <c r="Z38" s="93"/>
      <c r="AA38" s="98">
        <f t="shared" si="1"/>
        <v>11271</v>
      </c>
      <c r="AB38" s="165">
        <f t="shared" si="0"/>
        <v>0</v>
      </c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</row>
    <row r="39" spans="2:81" x14ac:dyDescent="0.2">
      <c r="B39" s="122" t="s">
        <v>25</v>
      </c>
      <c r="C39" s="185" t="s">
        <v>26</v>
      </c>
      <c r="D39" s="125">
        <f>'BV Fig'!AD40</f>
        <v>21635</v>
      </c>
      <c r="E39" s="95"/>
      <c r="F39" s="123">
        <f>'BV Fig'!I40</f>
        <v>61</v>
      </c>
      <c r="G39" s="105">
        <v>61</v>
      </c>
      <c r="H39" s="124"/>
      <c r="I39" s="114"/>
      <c r="J39" s="106">
        <f>'BV Fig'!N40+'BV Fig'!O40</f>
        <v>112</v>
      </c>
      <c r="K39" s="103"/>
      <c r="L39" s="103">
        <v>112</v>
      </c>
      <c r="M39" s="103"/>
      <c r="N39" s="105"/>
      <c r="O39" s="124"/>
      <c r="P39" s="114"/>
      <c r="Q39" s="106">
        <f>'BV Fig'!Q40+'BV Fig'!R40+'BV Fig'!S40</f>
        <v>99</v>
      </c>
      <c r="R39" s="103"/>
      <c r="S39" s="104">
        <v>99</v>
      </c>
      <c r="T39" s="104"/>
      <c r="U39" s="104"/>
      <c r="V39" s="104"/>
      <c r="W39" s="104"/>
      <c r="X39" s="104"/>
      <c r="Y39" s="124"/>
      <c r="Z39" s="93"/>
      <c r="AA39" s="98">
        <f t="shared" si="1"/>
        <v>21635</v>
      </c>
      <c r="AB39" s="165">
        <f t="shared" si="0"/>
        <v>0</v>
      </c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</row>
    <row r="40" spans="2:81" x14ac:dyDescent="0.2">
      <c r="B40" s="122" t="s">
        <v>27</v>
      </c>
      <c r="C40" s="185" t="s">
        <v>242</v>
      </c>
      <c r="D40" s="125">
        <f>'BV Fig'!AD41</f>
        <v>14970</v>
      </c>
      <c r="E40" s="95"/>
      <c r="F40" s="123">
        <f>'BV Fig'!I41</f>
        <v>14</v>
      </c>
      <c r="G40" s="105">
        <v>14</v>
      </c>
      <c r="H40" s="124"/>
      <c r="I40" s="114"/>
      <c r="J40" s="106">
        <f>'BV Fig'!N41+'BV Fig'!O41</f>
        <v>8</v>
      </c>
      <c r="K40" s="103"/>
      <c r="L40" s="103"/>
      <c r="M40" s="103"/>
      <c r="N40" s="105">
        <v>8</v>
      </c>
      <c r="O40" s="124"/>
      <c r="P40" s="114"/>
      <c r="Q40" s="106">
        <f>'BV Fig'!Q41+'BV Fig'!R41+'BV Fig'!S41</f>
        <v>266</v>
      </c>
      <c r="R40" s="103"/>
      <c r="S40" s="104">
        <v>266</v>
      </c>
      <c r="T40" s="104"/>
      <c r="U40" s="104"/>
      <c r="V40" s="104"/>
      <c r="W40" s="104"/>
      <c r="X40" s="104"/>
      <c r="Y40" s="124"/>
      <c r="Z40" s="93"/>
      <c r="AA40" s="98">
        <f t="shared" si="1"/>
        <v>14970</v>
      </c>
      <c r="AB40" s="165">
        <f t="shared" si="0"/>
        <v>0</v>
      </c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</row>
    <row r="41" spans="2:81" x14ac:dyDescent="0.2">
      <c r="B41" s="122" t="s">
        <v>28</v>
      </c>
      <c r="C41" s="185" t="s">
        <v>29</v>
      </c>
      <c r="D41" s="125">
        <f>'BV Fig'!AD42</f>
        <v>10021</v>
      </c>
      <c r="E41" s="95"/>
      <c r="F41" s="123">
        <f>'BV Fig'!I42</f>
        <v>19</v>
      </c>
      <c r="G41" s="105">
        <v>14</v>
      </c>
      <c r="H41" s="124">
        <v>5</v>
      </c>
      <c r="I41" s="114"/>
      <c r="J41" s="106">
        <f>'BV Fig'!N42+'BV Fig'!O42</f>
        <v>0</v>
      </c>
      <c r="K41" s="103"/>
      <c r="L41" s="103"/>
      <c r="M41" s="103"/>
      <c r="N41" s="105"/>
      <c r="O41" s="124"/>
      <c r="P41" s="114"/>
      <c r="Q41" s="106">
        <f>'BV Fig'!Q42+'BV Fig'!R42+'BV Fig'!S42</f>
        <v>153</v>
      </c>
      <c r="R41" s="103"/>
      <c r="S41" s="104">
        <v>103</v>
      </c>
      <c r="T41" s="104"/>
      <c r="U41" s="104">
        <v>50</v>
      </c>
      <c r="V41" s="104"/>
      <c r="W41" s="104"/>
      <c r="X41" s="104"/>
      <c r="Y41" s="124"/>
      <c r="Z41" s="93"/>
      <c r="AA41" s="98">
        <f t="shared" si="1"/>
        <v>10021</v>
      </c>
      <c r="AB41" s="165">
        <f t="shared" ref="AB41:AB72" si="3">SUM(D41)-AA41</f>
        <v>0</v>
      </c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</row>
    <row r="42" spans="2:81" x14ac:dyDescent="0.2">
      <c r="B42" s="122" t="s">
        <v>30</v>
      </c>
      <c r="C42" s="185" t="s">
        <v>31</v>
      </c>
      <c r="D42" s="125">
        <f>'BV Fig'!AD43</f>
        <v>28862</v>
      </c>
      <c r="E42" s="95"/>
      <c r="F42" s="123">
        <f>'BV Fig'!I43</f>
        <v>58</v>
      </c>
      <c r="G42" s="105">
        <v>58</v>
      </c>
      <c r="H42" s="124"/>
      <c r="I42" s="114"/>
      <c r="J42" s="106">
        <f>'BV Fig'!N43+'BV Fig'!O43</f>
        <v>104</v>
      </c>
      <c r="K42" s="103"/>
      <c r="L42" s="103"/>
      <c r="M42" s="103"/>
      <c r="N42" s="105">
        <v>104</v>
      </c>
      <c r="O42" s="124"/>
      <c r="P42" s="114"/>
      <c r="Q42" s="106">
        <f>'BV Fig'!Q43+'BV Fig'!R43+'BV Fig'!S43</f>
        <v>278</v>
      </c>
      <c r="R42" s="103"/>
      <c r="S42" s="104"/>
      <c r="T42" s="104"/>
      <c r="U42" s="104">
        <v>278</v>
      </c>
      <c r="V42" s="104"/>
      <c r="W42" s="104"/>
      <c r="X42" s="104"/>
      <c r="Y42" s="124"/>
      <c r="Z42" s="93"/>
      <c r="AA42" s="98">
        <f t="shared" si="1"/>
        <v>28862</v>
      </c>
      <c r="AB42" s="165">
        <f t="shared" si="3"/>
        <v>0</v>
      </c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</row>
    <row r="43" spans="2:81" s="1013" customFormat="1" x14ac:dyDescent="0.2">
      <c r="B43" s="1030" t="s">
        <v>32</v>
      </c>
      <c r="C43" s="1031" t="s">
        <v>243</v>
      </c>
      <c r="D43" s="1032">
        <f>'BV Fig'!AD44</f>
        <v>19558</v>
      </c>
      <c r="E43" s="1033"/>
      <c r="F43" s="1034">
        <f>'BV Fig'!I44</f>
        <v>48</v>
      </c>
      <c r="G43" s="1035">
        <v>48</v>
      </c>
      <c r="H43" s="1036"/>
      <c r="I43" s="1037"/>
      <c r="J43" s="1038">
        <f>'BV Fig'!N44+'BV Fig'!O44</f>
        <v>84</v>
      </c>
      <c r="K43" s="1039"/>
      <c r="L43" s="1039">
        <v>84</v>
      </c>
      <c r="M43" s="1039"/>
      <c r="N43" s="1035"/>
      <c r="O43" s="1036"/>
      <c r="P43" s="1037"/>
      <c r="Q43" s="1038">
        <f>'BV Fig'!Q44+'BV Fig'!R44+'BV Fig'!S44</f>
        <v>139</v>
      </c>
      <c r="R43" s="1039"/>
      <c r="S43" s="1040">
        <v>139</v>
      </c>
      <c r="T43" s="1040"/>
      <c r="U43" s="1040"/>
      <c r="V43" s="1040"/>
      <c r="W43" s="1040"/>
      <c r="X43" s="1040"/>
      <c r="Y43" s="1036"/>
      <c r="Z43" s="1041"/>
      <c r="AA43" s="1042">
        <f t="shared" si="1"/>
        <v>19558</v>
      </c>
      <c r="AB43" s="1043">
        <f t="shared" si="3"/>
        <v>0</v>
      </c>
      <c r="AC43" s="1041"/>
      <c r="AD43" s="1041"/>
      <c r="AE43" s="1041"/>
      <c r="AF43" s="1041"/>
      <c r="AG43" s="1041"/>
      <c r="AH43" s="1041"/>
      <c r="AI43" s="1041"/>
      <c r="AJ43" s="1041"/>
      <c r="AK43" s="1041"/>
      <c r="AL43" s="1041"/>
      <c r="AM43" s="1041"/>
      <c r="AN43" s="1041"/>
      <c r="AO43" s="1041"/>
      <c r="AP43" s="1041"/>
      <c r="AQ43" s="1041"/>
      <c r="AR43" s="1041"/>
      <c r="AS43" s="1041"/>
      <c r="AT43" s="1041"/>
      <c r="AU43" s="1041"/>
      <c r="AV43" s="1041"/>
      <c r="AW43" s="1041"/>
      <c r="AX43" s="1041"/>
      <c r="AY43" s="1041"/>
      <c r="AZ43" s="1041"/>
      <c r="BA43" s="1041"/>
      <c r="BB43" s="1041"/>
      <c r="BC43" s="1041"/>
      <c r="BD43" s="1041"/>
      <c r="BE43" s="1041"/>
      <c r="BF43" s="1041"/>
      <c r="BG43" s="1041"/>
      <c r="BH43" s="1041"/>
      <c r="BI43" s="1041"/>
      <c r="BJ43" s="1041"/>
      <c r="BK43" s="1041"/>
      <c r="BL43" s="1041"/>
      <c r="BM43" s="1041"/>
      <c r="BN43" s="1041"/>
      <c r="BO43" s="1041"/>
      <c r="BP43" s="1041"/>
      <c r="BQ43" s="1041"/>
      <c r="BR43" s="1041"/>
      <c r="BS43" s="1041"/>
      <c r="BT43" s="1041"/>
      <c r="BU43" s="1041"/>
      <c r="BV43" s="1041"/>
      <c r="BW43" s="1041"/>
      <c r="BX43" s="1041"/>
    </row>
    <row r="44" spans="2:81" x14ac:dyDescent="0.2">
      <c r="B44" s="122" t="s">
        <v>160</v>
      </c>
      <c r="C44" s="185" t="s">
        <v>244</v>
      </c>
      <c r="D44" s="125">
        <f>'BV Fig'!AD45</f>
        <v>15118</v>
      </c>
      <c r="E44" s="95"/>
      <c r="F44" s="123">
        <f>'BV Fig'!I45</f>
        <v>42</v>
      </c>
      <c r="G44" s="105">
        <v>42</v>
      </c>
      <c r="H44" s="124"/>
      <c r="I44" s="114"/>
      <c r="J44" s="106">
        <f>'BV Fig'!N45+'BV Fig'!O45</f>
        <v>16</v>
      </c>
      <c r="K44" s="103"/>
      <c r="L44" s="103">
        <v>16</v>
      </c>
      <c r="M44" s="103"/>
      <c r="N44" s="105"/>
      <c r="O44" s="124"/>
      <c r="P44" s="114"/>
      <c r="Q44" s="106">
        <f>'BV Fig'!Q45+'BV Fig'!R45+'BV Fig'!S45</f>
        <v>162</v>
      </c>
      <c r="R44" s="103"/>
      <c r="S44" s="104">
        <v>162</v>
      </c>
      <c r="T44" s="104"/>
      <c r="U44" s="104"/>
      <c r="V44" s="104"/>
      <c r="W44" s="104"/>
      <c r="X44" s="104"/>
      <c r="Y44" s="124"/>
      <c r="Z44" s="93"/>
      <c r="AA44" s="98">
        <f t="shared" si="1"/>
        <v>15118</v>
      </c>
      <c r="AB44" s="165">
        <f t="shared" si="3"/>
        <v>0</v>
      </c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</row>
    <row r="45" spans="2:81" x14ac:dyDescent="0.2">
      <c r="B45" s="122" t="s">
        <v>161</v>
      </c>
      <c r="C45" s="187" t="s">
        <v>36</v>
      </c>
      <c r="D45" s="125">
        <f>'BV Fig'!AD46</f>
        <v>70357</v>
      </c>
      <c r="E45" s="95"/>
      <c r="F45" s="123">
        <f>'BV Fig'!I46</f>
        <v>341</v>
      </c>
      <c r="G45" s="105">
        <v>341</v>
      </c>
      <c r="H45" s="124"/>
      <c r="I45" s="114"/>
      <c r="J45" s="106">
        <f>'BV Fig'!N46+'BV Fig'!O46</f>
        <v>8</v>
      </c>
      <c r="K45" s="103"/>
      <c r="L45" s="103">
        <v>8</v>
      </c>
      <c r="M45" s="103"/>
      <c r="N45" s="105"/>
      <c r="O45" s="124"/>
      <c r="P45" s="114"/>
      <c r="Q45" s="106">
        <f>'BV Fig'!Q46+'BV Fig'!R46+'BV Fig'!S46</f>
        <v>354</v>
      </c>
      <c r="R45" s="103"/>
      <c r="S45" s="104">
        <v>354</v>
      </c>
      <c r="T45" s="104"/>
      <c r="U45" s="104"/>
      <c r="V45" s="104"/>
      <c r="W45" s="104"/>
      <c r="X45" s="104"/>
      <c r="Y45" s="124"/>
      <c r="Z45" s="93"/>
      <c r="AA45" s="98">
        <f t="shared" si="1"/>
        <v>70357</v>
      </c>
      <c r="AB45" s="165">
        <f t="shared" si="3"/>
        <v>0</v>
      </c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</row>
    <row r="46" spans="2:81" x14ac:dyDescent="0.2">
      <c r="B46" s="234" t="s">
        <v>33</v>
      </c>
      <c r="C46" s="241" t="s">
        <v>34</v>
      </c>
      <c r="D46" s="235">
        <f>'BV Fig'!AD47</f>
        <v>33601</v>
      </c>
      <c r="E46" s="95"/>
      <c r="F46" s="236">
        <f>'BV Fig'!I47</f>
        <v>77</v>
      </c>
      <c r="G46" s="237"/>
      <c r="H46" s="238">
        <v>77</v>
      </c>
      <c r="I46" s="114"/>
      <c r="J46" s="106">
        <f>'BV Fig'!N47+'BV Fig'!O47</f>
        <v>100</v>
      </c>
      <c r="K46" s="239"/>
      <c r="L46" s="239"/>
      <c r="M46" s="239"/>
      <c r="N46" s="237">
        <v>100</v>
      </c>
      <c r="O46" s="238"/>
      <c r="P46" s="114"/>
      <c r="Q46" s="106">
        <f>'BV Fig'!Q47+'BV Fig'!R47+'BV Fig'!S47</f>
        <v>322</v>
      </c>
      <c r="R46" s="239"/>
      <c r="S46" s="240"/>
      <c r="T46" s="240"/>
      <c r="U46" s="240">
        <v>322</v>
      </c>
      <c r="V46" s="240"/>
      <c r="W46" s="240"/>
      <c r="X46" s="240"/>
      <c r="Y46" s="238"/>
      <c r="Z46" s="93"/>
      <c r="AA46" s="98">
        <f t="shared" si="1"/>
        <v>33601</v>
      </c>
      <c r="AB46" s="165">
        <f t="shared" si="3"/>
        <v>0</v>
      </c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</row>
    <row r="47" spans="2:81" ht="15" thickBot="1" x14ac:dyDescent="0.25">
      <c r="B47" s="190" t="str">
        <f>'BV Fig'!B48</f>
        <v>HAMBANTHOTA</v>
      </c>
      <c r="C47" s="242" t="str">
        <f>'BV Fig'!C48</f>
        <v>SAGARA ENTERFRISES</v>
      </c>
      <c r="D47" s="179">
        <f>'BV Fig'!AD48</f>
        <v>28770</v>
      </c>
      <c r="E47" s="95"/>
      <c r="F47" s="170">
        <f>'BV Fig'!I48</f>
        <v>106</v>
      </c>
      <c r="G47" s="171">
        <v>106</v>
      </c>
      <c r="H47" s="172"/>
      <c r="I47" s="114"/>
      <c r="J47" s="106">
        <f>'BV Fig'!N48+'BV Fig'!O48</f>
        <v>100</v>
      </c>
      <c r="K47" s="180"/>
      <c r="L47" s="180">
        <v>100</v>
      </c>
      <c r="M47" s="180"/>
      <c r="N47" s="171"/>
      <c r="O47" s="172"/>
      <c r="P47" s="114"/>
      <c r="Q47" s="110">
        <f>'BV Fig'!Q48+'BV Fig'!R48+'BV Fig'!S48</f>
        <v>118</v>
      </c>
      <c r="R47" s="180"/>
      <c r="S47" s="181">
        <v>118</v>
      </c>
      <c r="T47" s="181"/>
      <c r="U47" s="181"/>
      <c r="V47" s="181"/>
      <c r="W47" s="181"/>
      <c r="X47" s="181"/>
      <c r="Y47" s="172"/>
      <c r="Z47" s="93"/>
      <c r="AA47" s="98">
        <f t="shared" si="1"/>
        <v>28770</v>
      </c>
      <c r="AB47" s="165">
        <f t="shared" si="3"/>
        <v>0</v>
      </c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</row>
    <row r="48" spans="2:81" s="158" customFormat="1" x14ac:dyDescent="0.2">
      <c r="B48" s="1098"/>
      <c r="C48" s="1098"/>
      <c r="D48" s="95"/>
      <c r="E48" s="95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95"/>
      <c r="AA48" s="98">
        <f t="shared" si="1"/>
        <v>0</v>
      </c>
      <c r="AB48" s="165">
        <f t="shared" si="3"/>
        <v>0</v>
      </c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  <c r="CB48" s="95"/>
      <c r="CC48" s="95"/>
    </row>
    <row r="49" spans="2:81" s="158" customFormat="1" ht="15" thickBot="1" x14ac:dyDescent="0.25">
      <c r="B49" s="480"/>
      <c r="C49" s="480"/>
      <c r="D49" s="95"/>
      <c r="E49" s="95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95"/>
      <c r="AA49" s="98">
        <f t="shared" si="1"/>
        <v>0</v>
      </c>
      <c r="AB49" s="165">
        <f t="shared" si="3"/>
        <v>0</v>
      </c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5"/>
      <c r="BY49" s="95"/>
      <c r="BZ49" s="95"/>
      <c r="CA49" s="95"/>
      <c r="CB49" s="95"/>
      <c r="CC49" s="95"/>
    </row>
    <row r="50" spans="2:81" x14ac:dyDescent="0.2">
      <c r="B50" s="116" t="s">
        <v>37</v>
      </c>
      <c r="C50" s="191" t="s">
        <v>38</v>
      </c>
      <c r="D50" s="121">
        <f>'BV Fig'!AD51</f>
        <v>18530</v>
      </c>
      <c r="E50" s="95"/>
      <c r="F50" s="117">
        <f>'BV Fig'!I51</f>
        <v>8</v>
      </c>
      <c r="G50" s="119">
        <v>8</v>
      </c>
      <c r="H50" s="120"/>
      <c r="I50" s="114"/>
      <c r="J50" s="197">
        <f>'BV Fig'!N51+'BV Fig'!O51</f>
        <v>34</v>
      </c>
      <c r="K50" s="198">
        <v>34</v>
      </c>
      <c r="L50" s="198"/>
      <c r="M50" s="198"/>
      <c r="N50" s="119"/>
      <c r="O50" s="120"/>
      <c r="P50" s="114"/>
      <c r="Q50" s="102">
        <f>'BV Fig'!Q51+'BV Fig'!R51+'BV Fig'!S51</f>
        <v>326</v>
      </c>
      <c r="R50" s="198">
        <v>326</v>
      </c>
      <c r="S50" s="118"/>
      <c r="T50" s="118"/>
      <c r="U50" s="118"/>
      <c r="V50" s="118"/>
      <c r="W50" s="118"/>
      <c r="X50" s="118"/>
      <c r="Y50" s="120"/>
      <c r="Z50" s="93"/>
      <c r="AA50" s="98">
        <f t="shared" si="1"/>
        <v>18530</v>
      </c>
      <c r="AB50" s="165">
        <f t="shared" si="3"/>
        <v>0</v>
      </c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93"/>
      <c r="BO50" s="93"/>
      <c r="BP50" s="93"/>
      <c r="BQ50" s="93"/>
      <c r="BR50" s="93"/>
      <c r="BS50" s="93"/>
      <c r="BT50" s="93"/>
      <c r="BU50" s="93"/>
      <c r="BV50" s="93"/>
      <c r="BW50" s="93"/>
      <c r="BX50" s="93"/>
      <c r="BY50" s="93"/>
      <c r="BZ50" s="93"/>
      <c r="CA50" s="93"/>
      <c r="CB50" s="93"/>
      <c r="CC50" s="93"/>
    </row>
    <row r="51" spans="2:81" x14ac:dyDescent="0.2">
      <c r="B51" s="122" t="s">
        <v>39</v>
      </c>
      <c r="C51" s="185" t="str">
        <f>'BV Fig'!C52</f>
        <v>H.S.ENTERPRICES</v>
      </c>
      <c r="D51" s="125">
        <f>'BV Fig'!AD52</f>
        <v>19644.5</v>
      </c>
      <c r="E51" s="95"/>
      <c r="F51" s="123">
        <f>'BV Fig'!I52</f>
        <v>34</v>
      </c>
      <c r="G51" s="105">
        <v>34</v>
      </c>
      <c r="H51" s="124"/>
      <c r="I51" s="114"/>
      <c r="J51" s="106">
        <f>'BV Fig'!N52+'BV Fig'!O52</f>
        <v>22</v>
      </c>
      <c r="K51" s="103"/>
      <c r="L51" s="103"/>
      <c r="M51" s="103"/>
      <c r="N51" s="105"/>
      <c r="O51" s="124">
        <v>22</v>
      </c>
      <c r="P51" s="114"/>
      <c r="Q51" s="106">
        <f>'BV Fig'!Q52+'BV Fig'!R52+'BV Fig'!S52</f>
        <v>292</v>
      </c>
      <c r="R51" s="103"/>
      <c r="S51" s="104">
        <v>263</v>
      </c>
      <c r="T51" s="104">
        <v>2</v>
      </c>
      <c r="U51" s="104"/>
      <c r="V51" s="104"/>
      <c r="W51" s="104"/>
      <c r="X51" s="104">
        <v>6</v>
      </c>
      <c r="Y51" s="124">
        <v>21</v>
      </c>
      <c r="Z51" s="93"/>
      <c r="AA51" s="98">
        <f t="shared" si="1"/>
        <v>19644.5</v>
      </c>
      <c r="AB51" s="165">
        <f t="shared" si="3"/>
        <v>0</v>
      </c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3"/>
      <c r="BO51" s="93"/>
      <c r="BP51" s="93"/>
      <c r="BQ51" s="93"/>
      <c r="BR51" s="93"/>
      <c r="BS51" s="93"/>
      <c r="BT51" s="93"/>
      <c r="BU51" s="93"/>
      <c r="BV51" s="93"/>
      <c r="BW51" s="93"/>
      <c r="BX51" s="93"/>
      <c r="BY51" s="93"/>
      <c r="BZ51" s="93"/>
      <c r="CA51" s="93"/>
      <c r="CB51" s="93"/>
      <c r="CC51" s="93"/>
    </row>
    <row r="52" spans="2:81" x14ac:dyDescent="0.2">
      <c r="B52" s="122" t="s">
        <v>40</v>
      </c>
      <c r="C52" s="185" t="s">
        <v>41</v>
      </c>
      <c r="D52" s="125">
        <f>'BV Fig'!AD53</f>
        <v>12944.5</v>
      </c>
      <c r="E52" s="95"/>
      <c r="F52" s="123">
        <f>'BV Fig'!I53</f>
        <v>20</v>
      </c>
      <c r="G52" s="105">
        <v>20</v>
      </c>
      <c r="H52" s="124"/>
      <c r="I52" s="114"/>
      <c r="J52" s="106">
        <f>'BV Fig'!N53+'BV Fig'!O53</f>
        <v>6</v>
      </c>
      <c r="K52" s="103"/>
      <c r="L52" s="103">
        <v>4</v>
      </c>
      <c r="M52" s="103"/>
      <c r="N52" s="105"/>
      <c r="O52" s="124">
        <v>2</v>
      </c>
      <c r="P52" s="114"/>
      <c r="Q52" s="106">
        <f>'BV Fig'!Q53+'BV Fig'!R53+'BV Fig'!S53</f>
        <v>208</v>
      </c>
      <c r="R52" s="103">
        <v>1</v>
      </c>
      <c r="S52" s="104">
        <v>185</v>
      </c>
      <c r="T52" s="104">
        <v>1</v>
      </c>
      <c r="U52" s="104">
        <v>1</v>
      </c>
      <c r="V52" s="104"/>
      <c r="W52" s="104"/>
      <c r="X52" s="104">
        <v>5</v>
      </c>
      <c r="Y52" s="124">
        <v>15</v>
      </c>
      <c r="Z52" s="93"/>
      <c r="AA52" s="98">
        <f t="shared" si="1"/>
        <v>12944.5</v>
      </c>
      <c r="AB52" s="165">
        <f t="shared" si="3"/>
        <v>0</v>
      </c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93"/>
      <c r="BO52" s="93"/>
      <c r="BP52" s="93"/>
      <c r="BQ52" s="93"/>
      <c r="BR52" s="93"/>
      <c r="BS52" s="93"/>
      <c r="BT52" s="93"/>
      <c r="BU52" s="93"/>
      <c r="BV52" s="93"/>
      <c r="BW52" s="93"/>
      <c r="BX52" s="93"/>
      <c r="BY52" s="93"/>
      <c r="BZ52" s="93"/>
      <c r="CA52" s="93"/>
      <c r="CB52" s="93"/>
      <c r="CC52" s="93"/>
    </row>
    <row r="53" spans="2:81" x14ac:dyDescent="0.2">
      <c r="B53" s="122" t="s">
        <v>42</v>
      </c>
      <c r="C53" s="185" t="s">
        <v>256</v>
      </c>
      <c r="D53" s="125">
        <f>'BV Fig'!AD54</f>
        <v>25218.5</v>
      </c>
      <c r="E53" s="95"/>
      <c r="F53" s="123">
        <f>'BV Fig'!I54</f>
        <v>38</v>
      </c>
      <c r="G53" s="105">
        <v>38</v>
      </c>
      <c r="H53" s="124"/>
      <c r="I53" s="114"/>
      <c r="J53" s="106">
        <f>'BV Fig'!N54+'BV Fig'!O54</f>
        <v>13</v>
      </c>
      <c r="K53" s="103"/>
      <c r="L53" s="103">
        <v>13</v>
      </c>
      <c r="M53" s="103"/>
      <c r="N53" s="105"/>
      <c r="O53" s="124"/>
      <c r="P53" s="114"/>
      <c r="Q53" s="106">
        <f>'BV Fig'!Q54+'BV Fig'!R54+'BV Fig'!S54</f>
        <v>408</v>
      </c>
      <c r="R53" s="103">
        <v>365</v>
      </c>
      <c r="S53" s="104">
        <v>1</v>
      </c>
      <c r="T53" s="104"/>
      <c r="U53" s="104"/>
      <c r="V53" s="104"/>
      <c r="W53" s="104"/>
      <c r="X53" s="104">
        <v>1</v>
      </c>
      <c r="Y53" s="124">
        <v>41</v>
      </c>
      <c r="Z53" s="93"/>
      <c r="AA53" s="98">
        <f t="shared" si="1"/>
        <v>25218.5</v>
      </c>
      <c r="AB53" s="165">
        <f t="shared" si="3"/>
        <v>0</v>
      </c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3"/>
      <c r="BV53" s="93"/>
      <c r="BW53" s="93"/>
      <c r="BX53" s="93"/>
      <c r="BY53" s="93"/>
      <c r="BZ53" s="93"/>
      <c r="CA53" s="93"/>
      <c r="CB53" s="93"/>
      <c r="CC53" s="93"/>
    </row>
    <row r="54" spans="2:81" x14ac:dyDescent="0.2">
      <c r="B54" s="234" t="str">
        <f>'BV Fig'!B55</f>
        <v>MAHIYANGANAYA</v>
      </c>
      <c r="C54" s="241" t="str">
        <f>'BV Fig'!C55</f>
        <v>MANJULA DISTRIBUTORS</v>
      </c>
      <c r="D54" s="125">
        <f>'BV Fig'!AD55</f>
        <v>17590.5</v>
      </c>
      <c r="E54" s="95"/>
      <c r="F54" s="123">
        <f>'BV Fig'!I55</f>
        <v>26</v>
      </c>
      <c r="G54" s="105">
        <v>26</v>
      </c>
      <c r="H54" s="124"/>
      <c r="I54" s="114"/>
      <c r="J54" s="106">
        <f>'BV Fig'!N55+'BV Fig'!O55</f>
        <v>46</v>
      </c>
      <c r="K54" s="103">
        <v>9</v>
      </c>
      <c r="L54" s="103">
        <v>30</v>
      </c>
      <c r="M54" s="103"/>
      <c r="N54" s="105"/>
      <c r="O54" s="124">
        <v>7</v>
      </c>
      <c r="P54" s="114"/>
      <c r="Q54" s="106">
        <f>'BV Fig'!Q55+'BV Fig'!R55+'BV Fig'!S55</f>
        <v>231</v>
      </c>
      <c r="R54" s="103">
        <v>46</v>
      </c>
      <c r="S54" s="104">
        <v>170</v>
      </c>
      <c r="T54" s="104">
        <v>6</v>
      </c>
      <c r="U54" s="104">
        <v>2</v>
      </c>
      <c r="V54" s="104"/>
      <c r="W54" s="104"/>
      <c r="X54" s="104"/>
      <c r="Y54" s="124">
        <v>7</v>
      </c>
      <c r="Z54" s="93"/>
      <c r="AA54" s="98">
        <f t="shared" ref="AA54" si="4">SUM((G54)+H54)*157+(K54+L54+M54+N54)*67+O54*48+(R54+S54+T54+U54+V54+W54)*46+X54*49+Y54*36.5</f>
        <v>17590.5</v>
      </c>
      <c r="AB54" s="165">
        <f t="shared" si="3"/>
        <v>0</v>
      </c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  <c r="BM54" s="93"/>
      <c r="BN54" s="93"/>
      <c r="BO54" s="93"/>
      <c r="BP54" s="93"/>
      <c r="BQ54" s="93"/>
      <c r="BR54" s="93"/>
      <c r="BS54" s="93"/>
      <c r="BT54" s="93"/>
      <c r="BU54" s="93"/>
      <c r="BV54" s="93"/>
      <c r="BW54" s="93"/>
      <c r="BX54" s="93"/>
      <c r="BY54" s="93"/>
      <c r="BZ54" s="93"/>
      <c r="CA54" s="93"/>
      <c r="CB54" s="93"/>
      <c r="CC54" s="93"/>
    </row>
    <row r="55" spans="2:81" ht="15" thickBot="1" x14ac:dyDescent="0.25">
      <c r="B55" s="189" t="s">
        <v>43</v>
      </c>
      <c r="C55" s="382" t="s">
        <v>262</v>
      </c>
      <c r="D55" s="178">
        <f>'BV Fig'!AD56</f>
        <v>23604</v>
      </c>
      <c r="E55" s="95"/>
      <c r="F55" s="175">
        <f>'BV Fig'!I56</f>
        <v>32</v>
      </c>
      <c r="G55" s="109">
        <v>32</v>
      </c>
      <c r="H55" s="176"/>
      <c r="I55" s="114"/>
      <c r="J55" s="110">
        <f>'BV Fig'!N56+'BV Fig'!O56</f>
        <v>2</v>
      </c>
      <c r="K55" s="107">
        <v>2</v>
      </c>
      <c r="L55" s="107"/>
      <c r="M55" s="107"/>
      <c r="N55" s="109"/>
      <c r="O55" s="176"/>
      <c r="P55" s="114"/>
      <c r="Q55" s="110">
        <f>'BV Fig'!Q56+'BV Fig'!R56+'BV Fig'!S56</f>
        <v>401</v>
      </c>
      <c r="R55" s="107">
        <v>401</v>
      </c>
      <c r="S55" s="108"/>
      <c r="T55" s="108"/>
      <c r="U55" s="108"/>
      <c r="V55" s="108"/>
      <c r="W55" s="108"/>
      <c r="X55" s="108"/>
      <c r="Y55" s="176"/>
      <c r="Z55" s="93"/>
      <c r="AA55" s="98">
        <f t="shared" si="1"/>
        <v>23604</v>
      </c>
      <c r="AB55" s="165">
        <f t="shared" si="3"/>
        <v>0</v>
      </c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  <c r="BU55" s="93"/>
      <c r="BV55" s="93"/>
      <c r="BW55" s="93"/>
      <c r="BX55" s="93"/>
      <c r="BY55" s="93"/>
      <c r="BZ55" s="93"/>
      <c r="CA55" s="93"/>
      <c r="CB55" s="93"/>
      <c r="CC55" s="93"/>
    </row>
    <row r="56" spans="2:81" s="158" customFormat="1" x14ac:dyDescent="0.2">
      <c r="B56" s="1098"/>
      <c r="C56" s="1098"/>
      <c r="D56" s="95"/>
      <c r="E56" s="95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95"/>
      <c r="AA56" s="98">
        <f t="shared" si="1"/>
        <v>0</v>
      </c>
      <c r="AB56" s="165">
        <f t="shared" si="3"/>
        <v>0</v>
      </c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95"/>
      <c r="BG56" s="95"/>
      <c r="BH56" s="95"/>
      <c r="BI56" s="95"/>
      <c r="BJ56" s="95"/>
      <c r="BK56" s="95"/>
      <c r="BL56" s="95"/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5"/>
      <c r="BX56" s="95"/>
      <c r="BY56" s="95"/>
      <c r="BZ56" s="95"/>
      <c r="CA56" s="95"/>
      <c r="CB56" s="95"/>
      <c r="CC56" s="95"/>
    </row>
    <row r="57" spans="2:81" s="158" customFormat="1" ht="15" thickBot="1" x14ac:dyDescent="0.25">
      <c r="B57" s="480"/>
      <c r="C57" s="480"/>
      <c r="D57" s="95"/>
      <c r="E57" s="95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95"/>
      <c r="AA57" s="98">
        <f t="shared" si="1"/>
        <v>0</v>
      </c>
      <c r="AB57" s="165">
        <f t="shared" si="3"/>
        <v>0</v>
      </c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95"/>
      <c r="BP57" s="95"/>
      <c r="BQ57" s="95"/>
      <c r="BR57" s="95"/>
      <c r="BS57" s="95"/>
      <c r="BT57" s="95"/>
      <c r="BU57" s="95"/>
      <c r="BV57" s="95"/>
      <c r="BW57" s="95"/>
      <c r="BX57" s="95"/>
      <c r="BY57" s="95"/>
      <c r="BZ57" s="95"/>
      <c r="CA57" s="95"/>
      <c r="CB57" s="95"/>
      <c r="CC57" s="95"/>
    </row>
    <row r="58" spans="2:81" x14ac:dyDescent="0.2">
      <c r="B58" s="116" t="s">
        <v>167</v>
      </c>
      <c r="C58" s="191" t="s">
        <v>45</v>
      </c>
      <c r="D58" s="121">
        <f>'BV Fig'!AD59</f>
        <v>7430</v>
      </c>
      <c r="E58" s="95"/>
      <c r="F58" s="117">
        <f>'BV Fig'!I59</f>
        <v>40</v>
      </c>
      <c r="G58" s="119">
        <v>22</v>
      </c>
      <c r="H58" s="120">
        <v>18</v>
      </c>
      <c r="I58" s="114"/>
      <c r="J58" s="197">
        <f>'BV Fig'!N59+'BV Fig'!O59</f>
        <v>0</v>
      </c>
      <c r="K58" s="198"/>
      <c r="L58" s="198"/>
      <c r="M58" s="198"/>
      <c r="N58" s="119"/>
      <c r="O58" s="120"/>
      <c r="P58" s="114"/>
      <c r="Q58" s="102">
        <f>'BV Fig'!Q59+'BV Fig'!R59+'BV Fig'!S59</f>
        <v>25</v>
      </c>
      <c r="R58" s="198">
        <v>4</v>
      </c>
      <c r="S58" s="118">
        <v>17</v>
      </c>
      <c r="T58" s="118">
        <v>4</v>
      </c>
      <c r="U58" s="118"/>
      <c r="V58" s="118"/>
      <c r="W58" s="118"/>
      <c r="X58" s="118"/>
      <c r="Y58" s="120"/>
      <c r="Z58" s="93"/>
      <c r="AA58" s="98">
        <f>SUM((G58)+H58)*157+(K58+L58+M58+N58)*67+O58*48+(R58+S58+T58+U58+V58+W58)*46+X58*49+Y58*36.5</f>
        <v>7430</v>
      </c>
      <c r="AB58" s="165">
        <f t="shared" si="3"/>
        <v>0</v>
      </c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93"/>
      <c r="BQ58" s="93"/>
      <c r="BR58" s="93"/>
      <c r="BS58" s="93"/>
      <c r="BT58" s="93"/>
      <c r="BU58" s="93"/>
      <c r="BV58" s="93"/>
      <c r="BW58" s="93"/>
      <c r="BX58" s="93"/>
      <c r="BY58" s="93"/>
      <c r="BZ58" s="93"/>
      <c r="CA58" s="93"/>
      <c r="CB58" s="93"/>
      <c r="CC58" s="93"/>
    </row>
    <row r="59" spans="2:81" x14ac:dyDescent="0.2">
      <c r="B59" s="122" t="s">
        <v>46</v>
      </c>
      <c r="C59" s="185" t="s">
        <v>47</v>
      </c>
      <c r="D59" s="125">
        <f>'BV Fig'!AD60</f>
        <v>4086</v>
      </c>
      <c r="E59" s="95"/>
      <c r="F59" s="123">
        <f>'BV Fig'!I60</f>
        <v>18</v>
      </c>
      <c r="G59" s="105">
        <v>18</v>
      </c>
      <c r="H59" s="124"/>
      <c r="I59" s="114"/>
      <c r="J59" s="143">
        <f>'BV Fig'!N60+'BV Fig'!O60</f>
        <v>14</v>
      </c>
      <c r="K59" s="103"/>
      <c r="L59" s="103">
        <v>14</v>
      </c>
      <c r="M59" s="103"/>
      <c r="N59" s="105"/>
      <c r="O59" s="124"/>
      <c r="P59" s="114"/>
      <c r="Q59" s="106">
        <f>'BV Fig'!Q60+'BV Fig'!R60+'BV Fig'!S60</f>
        <v>7</v>
      </c>
      <c r="R59" s="103"/>
      <c r="S59" s="104">
        <v>7</v>
      </c>
      <c r="T59" s="104"/>
      <c r="U59" s="104"/>
      <c r="V59" s="104"/>
      <c r="W59" s="104"/>
      <c r="X59" s="104"/>
      <c r="Y59" s="124"/>
      <c r="Z59" s="93"/>
      <c r="AA59" s="98">
        <f t="shared" ref="AA59:AA63" si="5">SUM((G59)+H59)*157+(K59+L59+M59+N59)*67+O59*48+(R59+S59+T59+U59+V59+W59)*46+X59*49+Y59*36.5</f>
        <v>4086</v>
      </c>
      <c r="AB59" s="165">
        <f t="shared" si="3"/>
        <v>0</v>
      </c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93"/>
      <c r="BW59" s="93"/>
      <c r="BX59" s="93"/>
      <c r="BY59" s="93"/>
      <c r="BZ59" s="93"/>
      <c r="CA59" s="93"/>
      <c r="CB59" s="93"/>
      <c r="CC59" s="93"/>
    </row>
    <row r="60" spans="2:81" x14ac:dyDescent="0.2">
      <c r="B60" s="122" t="s">
        <v>215</v>
      </c>
      <c r="C60" s="185" t="s">
        <v>260</v>
      </c>
      <c r="D60" s="125">
        <f>'BV Fig'!AD61</f>
        <v>5853</v>
      </c>
      <c r="E60" s="95"/>
      <c r="F60" s="123">
        <f>'BV Fig'!I61</f>
        <v>27</v>
      </c>
      <c r="G60" s="105">
        <v>27</v>
      </c>
      <c r="H60" s="124"/>
      <c r="I60" s="114"/>
      <c r="J60" s="143">
        <f>'BV Fig'!N61+'BV Fig'!O61</f>
        <v>2</v>
      </c>
      <c r="K60" s="103"/>
      <c r="L60" s="103"/>
      <c r="M60" s="103"/>
      <c r="N60" s="105"/>
      <c r="O60" s="124">
        <v>2</v>
      </c>
      <c r="P60" s="114"/>
      <c r="Q60" s="106">
        <f>'BV Fig'!Q61+'BV Fig'!R61+'BV Fig'!S61</f>
        <v>33</v>
      </c>
      <c r="R60" s="103"/>
      <c r="S60" s="104">
        <v>33</v>
      </c>
      <c r="T60" s="104"/>
      <c r="U60" s="104"/>
      <c r="V60" s="104"/>
      <c r="W60" s="104"/>
      <c r="X60" s="104"/>
      <c r="Y60" s="124"/>
      <c r="Z60" s="93"/>
      <c r="AA60" s="98">
        <f t="shared" si="5"/>
        <v>5853</v>
      </c>
      <c r="AB60" s="165">
        <f t="shared" si="3"/>
        <v>0</v>
      </c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  <c r="BJ60" s="93"/>
      <c r="BK60" s="93"/>
      <c r="BL60" s="93"/>
      <c r="BM60" s="93"/>
      <c r="BN60" s="93"/>
      <c r="BO60" s="93"/>
      <c r="BP60" s="93"/>
      <c r="BQ60" s="93"/>
      <c r="BR60" s="93"/>
      <c r="BS60" s="93"/>
      <c r="BT60" s="93"/>
      <c r="BU60" s="93"/>
      <c r="BV60" s="93"/>
      <c r="BW60" s="93"/>
      <c r="BX60" s="93"/>
      <c r="BY60" s="93"/>
      <c r="BZ60" s="93"/>
      <c r="CA60" s="93"/>
      <c r="CB60" s="93"/>
      <c r="CC60" s="93"/>
    </row>
    <row r="61" spans="2:81" x14ac:dyDescent="0.2">
      <c r="B61" s="122" t="s">
        <v>48</v>
      </c>
      <c r="C61" s="185" t="s">
        <v>245</v>
      </c>
      <c r="D61" s="125">
        <f>'BV Fig'!AD62</f>
        <v>11943.5</v>
      </c>
      <c r="E61" s="95"/>
      <c r="F61" s="123">
        <f>'BV Fig'!I62</f>
        <v>11</v>
      </c>
      <c r="G61" s="105">
        <v>11</v>
      </c>
      <c r="H61" s="124"/>
      <c r="I61" s="114"/>
      <c r="J61" s="143">
        <f>'BV Fig'!N62+'BV Fig'!O62</f>
        <v>4</v>
      </c>
      <c r="K61" s="103"/>
      <c r="L61" s="103"/>
      <c r="M61" s="103"/>
      <c r="N61" s="105"/>
      <c r="O61" s="124">
        <v>4</v>
      </c>
      <c r="P61" s="114"/>
      <c r="Q61" s="106">
        <f>'BV Fig'!Q62+'BV Fig'!R62+'BV Fig'!S62</f>
        <v>214</v>
      </c>
      <c r="R61" s="103">
        <v>1</v>
      </c>
      <c r="S61" s="104">
        <v>124</v>
      </c>
      <c r="T61" s="104">
        <v>6</v>
      </c>
      <c r="U61" s="104">
        <v>2</v>
      </c>
      <c r="V61" s="104"/>
      <c r="W61" s="104"/>
      <c r="X61" s="104">
        <v>76</v>
      </c>
      <c r="Y61" s="124">
        <v>5</v>
      </c>
      <c r="Z61" s="93"/>
      <c r="AA61" s="98">
        <f t="shared" si="5"/>
        <v>11943.5</v>
      </c>
      <c r="AB61" s="165">
        <f t="shared" si="3"/>
        <v>0</v>
      </c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  <c r="BU61" s="93"/>
      <c r="BV61" s="93"/>
      <c r="BW61" s="93"/>
      <c r="BX61" s="93"/>
      <c r="BY61" s="93"/>
      <c r="BZ61" s="93"/>
      <c r="CA61" s="93"/>
      <c r="CB61" s="93"/>
      <c r="CC61" s="93"/>
    </row>
    <row r="62" spans="2:81" x14ac:dyDescent="0.2">
      <c r="B62" s="122" t="s">
        <v>49</v>
      </c>
      <c r="C62" s="185" t="s">
        <v>50</v>
      </c>
      <c r="D62" s="125">
        <f>'BV Fig'!AD63</f>
        <v>10696</v>
      </c>
      <c r="E62" s="95"/>
      <c r="F62" s="123">
        <f>'BV Fig'!I63</f>
        <v>44</v>
      </c>
      <c r="G62" s="105">
        <v>44</v>
      </c>
      <c r="H62" s="124"/>
      <c r="I62" s="114"/>
      <c r="J62" s="143">
        <f>'BV Fig'!N63+'BV Fig'!O63</f>
        <v>0</v>
      </c>
      <c r="K62" s="103"/>
      <c r="L62" s="103"/>
      <c r="M62" s="103"/>
      <c r="N62" s="105"/>
      <c r="O62" s="124"/>
      <c r="P62" s="114"/>
      <c r="Q62" s="106">
        <f>'BV Fig'!Q63+'BV Fig'!R63+'BV Fig'!S63</f>
        <v>80</v>
      </c>
      <c r="R62" s="103">
        <v>44</v>
      </c>
      <c r="S62" s="104"/>
      <c r="T62" s="104"/>
      <c r="U62" s="104"/>
      <c r="V62" s="104"/>
      <c r="W62" s="104"/>
      <c r="X62" s="104">
        <v>36</v>
      </c>
      <c r="Y62" s="124"/>
      <c r="Z62" s="93"/>
      <c r="AA62" s="98">
        <f t="shared" si="5"/>
        <v>10696</v>
      </c>
      <c r="AB62" s="165">
        <f t="shared" si="3"/>
        <v>0</v>
      </c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  <c r="BM62" s="93"/>
      <c r="BN62" s="93"/>
      <c r="BO62" s="93"/>
      <c r="BP62" s="93"/>
      <c r="BQ62" s="93"/>
      <c r="BR62" s="93"/>
      <c r="BS62" s="93"/>
      <c r="BT62" s="93"/>
      <c r="BU62" s="93"/>
      <c r="BV62" s="93"/>
      <c r="BW62" s="93"/>
      <c r="BX62" s="93"/>
      <c r="BY62" s="93"/>
      <c r="BZ62" s="93"/>
      <c r="CA62" s="93"/>
      <c r="CB62" s="93"/>
      <c r="CC62" s="93"/>
    </row>
    <row r="63" spans="2:81" x14ac:dyDescent="0.2">
      <c r="B63" s="122" t="s">
        <v>51</v>
      </c>
      <c r="C63" s="185" t="s">
        <v>304</v>
      </c>
      <c r="D63" s="125">
        <f>'BV Fig'!AD64</f>
        <v>5240</v>
      </c>
      <c r="E63" s="95"/>
      <c r="F63" s="123">
        <f>'BV Fig'!I64</f>
        <v>24</v>
      </c>
      <c r="G63" s="105">
        <v>24</v>
      </c>
      <c r="H63" s="124"/>
      <c r="I63" s="114"/>
      <c r="J63" s="143">
        <f>'BV Fig'!N64+'BV Fig'!O64</f>
        <v>0</v>
      </c>
      <c r="K63" s="103"/>
      <c r="L63" s="103"/>
      <c r="M63" s="103"/>
      <c r="N63" s="105"/>
      <c r="O63" s="124"/>
      <c r="P63" s="114"/>
      <c r="Q63" s="106">
        <f>'BV Fig'!Q64+'BV Fig'!R64+'BV Fig'!S64</f>
        <v>32</v>
      </c>
      <c r="R63" s="103"/>
      <c r="S63" s="104">
        <v>32</v>
      </c>
      <c r="T63" s="104"/>
      <c r="U63" s="104"/>
      <c r="V63" s="104"/>
      <c r="W63" s="104"/>
      <c r="X63" s="104"/>
      <c r="Y63" s="124"/>
      <c r="Z63" s="93"/>
      <c r="AA63" s="98">
        <f t="shared" si="5"/>
        <v>5240</v>
      </c>
      <c r="AB63" s="165">
        <f t="shared" si="3"/>
        <v>0</v>
      </c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  <c r="BJ63" s="93"/>
      <c r="BK63" s="93"/>
      <c r="BL63" s="93"/>
      <c r="BM63" s="93"/>
      <c r="BN63" s="93"/>
      <c r="BO63" s="93"/>
      <c r="BP63" s="93"/>
      <c r="BQ63" s="93"/>
      <c r="BR63" s="93"/>
      <c r="BS63" s="93"/>
      <c r="BT63" s="93"/>
      <c r="BU63" s="93"/>
      <c r="BV63" s="93"/>
      <c r="BW63" s="93"/>
      <c r="BX63" s="93"/>
      <c r="BY63" s="93"/>
      <c r="BZ63" s="93"/>
      <c r="CA63" s="93"/>
      <c r="CB63" s="93"/>
      <c r="CC63" s="93"/>
    </row>
    <row r="64" spans="2:81" x14ac:dyDescent="0.2">
      <c r="B64" s="122" t="s">
        <v>52</v>
      </c>
      <c r="C64" s="185" t="s">
        <v>246</v>
      </c>
      <c r="D64" s="125">
        <f>'BV Fig'!AD65</f>
        <v>8378.5</v>
      </c>
      <c r="E64" s="95"/>
      <c r="F64" s="123">
        <f>'BV Fig'!I65</f>
        <v>14</v>
      </c>
      <c r="G64" s="105">
        <v>14</v>
      </c>
      <c r="H64" s="124"/>
      <c r="I64" s="114"/>
      <c r="J64" s="106">
        <f>'BV Fig'!N65+'BV Fig'!O65</f>
        <v>32</v>
      </c>
      <c r="K64" s="103"/>
      <c r="L64" s="103">
        <v>16</v>
      </c>
      <c r="M64" s="103"/>
      <c r="N64" s="105"/>
      <c r="O64" s="124">
        <v>16</v>
      </c>
      <c r="P64" s="114"/>
      <c r="Q64" s="106">
        <f>'BV Fig'!Q65+'BV Fig'!R65+'BV Fig'!S65</f>
        <v>95</v>
      </c>
      <c r="R64" s="103">
        <v>3</v>
      </c>
      <c r="S64" s="104">
        <v>81</v>
      </c>
      <c r="T64" s="104"/>
      <c r="U64" s="104"/>
      <c r="V64" s="104"/>
      <c r="W64" s="104"/>
      <c r="X64" s="104">
        <v>6</v>
      </c>
      <c r="Y64" s="124">
        <v>5</v>
      </c>
      <c r="Z64" s="93"/>
      <c r="AA64" s="98">
        <f>SUM((G64)+H64)*157+(K64+L64+M64+N64)*67+O64*48+(R64+S64+T64+U64+V64+W64)*46+X64*49+Y64*36.5</f>
        <v>8378.5</v>
      </c>
      <c r="AB64" s="165">
        <f t="shared" si="3"/>
        <v>0</v>
      </c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  <c r="BU64" s="93"/>
      <c r="BV64" s="93"/>
      <c r="BW64" s="93"/>
      <c r="BX64" s="93"/>
      <c r="BY64" s="93"/>
      <c r="BZ64" s="93"/>
      <c r="CA64" s="93"/>
      <c r="CB64" s="93"/>
      <c r="CC64" s="93"/>
    </row>
    <row r="65" spans="2:81" ht="15" thickBot="1" x14ac:dyDescent="0.25">
      <c r="B65" s="128" t="s">
        <v>170</v>
      </c>
      <c r="C65" s="192" t="s">
        <v>247</v>
      </c>
      <c r="D65" s="133">
        <f>'BV Fig'!AD66</f>
        <v>16415</v>
      </c>
      <c r="E65" s="95"/>
      <c r="F65" s="129">
        <f>'BV Fig'!I66</f>
        <v>65</v>
      </c>
      <c r="G65" s="131">
        <v>51</v>
      </c>
      <c r="H65" s="132">
        <v>14</v>
      </c>
      <c r="I65" s="114"/>
      <c r="J65" s="328">
        <f>'BV Fig'!N66+'BV Fig'!O66</f>
        <v>0</v>
      </c>
      <c r="K65" s="199"/>
      <c r="L65" s="199"/>
      <c r="M65" s="199"/>
      <c r="N65" s="131"/>
      <c r="O65" s="132"/>
      <c r="P65" s="114"/>
      <c r="Q65" s="110">
        <f>'BV Fig'!Q66+'BV Fig'!R66+'BV Fig'!S66</f>
        <v>135</v>
      </c>
      <c r="R65" s="199">
        <v>16</v>
      </c>
      <c r="S65" s="130">
        <v>76</v>
      </c>
      <c r="T65" s="130">
        <v>24</v>
      </c>
      <c r="U65" s="130">
        <v>19</v>
      </c>
      <c r="V65" s="130"/>
      <c r="W65" s="130"/>
      <c r="X65" s="130"/>
      <c r="Y65" s="132"/>
      <c r="Z65" s="93"/>
      <c r="AA65" s="98">
        <f t="shared" si="1"/>
        <v>16415</v>
      </c>
      <c r="AB65" s="165">
        <f t="shared" si="3"/>
        <v>0</v>
      </c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</row>
    <row r="66" spans="2:81" s="158" customFormat="1" x14ac:dyDescent="0.2">
      <c r="B66" s="1098"/>
      <c r="C66" s="1098"/>
      <c r="F66" s="166"/>
      <c r="G66" s="166"/>
      <c r="H66" s="166"/>
      <c r="I66" s="166"/>
      <c r="J66" s="329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AA66" s="98">
        <f t="shared" si="1"/>
        <v>0</v>
      </c>
      <c r="AB66" s="165">
        <f t="shared" si="3"/>
        <v>0</v>
      </c>
    </row>
    <row r="67" spans="2:81" s="158" customFormat="1" ht="15" thickBot="1" x14ac:dyDescent="0.25">
      <c r="B67" s="480"/>
      <c r="C67" s="480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AA67" s="98">
        <f t="shared" si="1"/>
        <v>0</v>
      </c>
      <c r="AB67" s="165">
        <f t="shared" si="3"/>
        <v>0</v>
      </c>
    </row>
    <row r="68" spans="2:81" x14ac:dyDescent="0.2">
      <c r="B68" s="116" t="s">
        <v>162</v>
      </c>
      <c r="C68" s="193" t="str">
        <f>'BV Fig'!C69</f>
        <v>SRI RANGAN ENTERPRISE</v>
      </c>
      <c r="D68" s="194">
        <f>'BV Fig'!AD69</f>
        <v>6135.5</v>
      </c>
      <c r="F68" s="117">
        <f>'BV Fig'!I69</f>
        <v>20</v>
      </c>
      <c r="G68" s="119">
        <v>20</v>
      </c>
      <c r="H68" s="120"/>
      <c r="J68" s="102">
        <f>'BV Fig'!N69+'BV Fig'!O69</f>
        <v>19</v>
      </c>
      <c r="K68" s="198"/>
      <c r="L68" s="198">
        <v>18</v>
      </c>
      <c r="M68" s="198"/>
      <c r="N68" s="119"/>
      <c r="O68" s="120">
        <v>1</v>
      </c>
      <c r="Q68" s="102">
        <f>'BV Fig'!Q69+'BV Fig'!R69+'BV Fig'!S69</f>
        <v>38</v>
      </c>
      <c r="R68" s="198"/>
      <c r="S68" s="118">
        <v>36</v>
      </c>
      <c r="T68" s="118"/>
      <c r="U68" s="118"/>
      <c r="V68" s="118"/>
      <c r="W68" s="118"/>
      <c r="X68" s="118">
        <v>1</v>
      </c>
      <c r="Y68" s="120">
        <v>1</v>
      </c>
      <c r="AA68" s="98">
        <f t="shared" si="1"/>
        <v>6135.5</v>
      </c>
      <c r="AB68" s="165">
        <f t="shared" si="3"/>
        <v>0</v>
      </c>
    </row>
    <row r="69" spans="2:81" x14ac:dyDescent="0.2">
      <c r="B69" s="122" t="s">
        <v>55</v>
      </c>
      <c r="C69" s="195" t="str">
        <f>'BV Fig'!C70</f>
        <v>SRI RANGAN ENTERPRISE</v>
      </c>
      <c r="D69" s="196">
        <f>'BV Fig'!AD70</f>
        <v>6843.5</v>
      </c>
      <c r="F69" s="123">
        <f>'BV Fig'!I70</f>
        <v>14</v>
      </c>
      <c r="G69" s="105">
        <v>14</v>
      </c>
      <c r="H69" s="124"/>
      <c r="J69" s="106">
        <f>'BV Fig'!N70+'BV Fig'!O70</f>
        <v>32</v>
      </c>
      <c r="K69" s="103"/>
      <c r="L69" s="103">
        <v>26</v>
      </c>
      <c r="M69" s="103"/>
      <c r="N69" s="105"/>
      <c r="O69" s="124">
        <v>6</v>
      </c>
      <c r="Q69" s="106">
        <f>'BV Fig'!Q70+'BV Fig'!R70+'BV Fig'!S70</f>
        <v>57</v>
      </c>
      <c r="R69" s="103"/>
      <c r="S69" s="104">
        <v>55</v>
      </c>
      <c r="T69" s="104"/>
      <c r="U69" s="104"/>
      <c r="V69" s="104"/>
      <c r="W69" s="104"/>
      <c r="X69" s="104">
        <v>1</v>
      </c>
      <c r="Y69" s="124">
        <v>1</v>
      </c>
      <c r="AA69" s="98">
        <f t="shared" si="1"/>
        <v>6843.5</v>
      </c>
      <c r="AB69" s="165">
        <f t="shared" si="3"/>
        <v>0</v>
      </c>
    </row>
    <row r="70" spans="2:81" x14ac:dyDescent="0.2">
      <c r="B70" s="234" t="str">
        <f>'Bv Act'!B70</f>
        <v>CHAVACACHCHERI</v>
      </c>
      <c r="C70" s="541" t="str">
        <f>'BV Fig'!C71</f>
        <v>ALEX DISTRIBUTORS</v>
      </c>
      <c r="D70" s="196">
        <f>'BV Fig'!AD71</f>
        <v>5351</v>
      </c>
      <c r="F70" s="123">
        <f>'BV Fig'!I71</f>
        <v>15</v>
      </c>
      <c r="G70" s="237">
        <v>15</v>
      </c>
      <c r="H70" s="238"/>
      <c r="J70" s="106">
        <f>'BV Fig'!N71+'BV Fig'!O71</f>
        <v>0</v>
      </c>
      <c r="K70" s="239"/>
      <c r="L70" s="239"/>
      <c r="M70" s="239"/>
      <c r="N70" s="237"/>
      <c r="O70" s="238"/>
      <c r="Q70" s="106">
        <f>'BV Fig'!Q71+'BV Fig'!R71+'BV Fig'!S71</f>
        <v>65</v>
      </c>
      <c r="R70" s="239"/>
      <c r="S70" s="105">
        <v>63</v>
      </c>
      <c r="T70" s="240"/>
      <c r="U70" s="105"/>
      <c r="V70" s="104"/>
      <c r="W70" s="240"/>
      <c r="X70" s="240">
        <v>2</v>
      </c>
      <c r="Y70" s="124"/>
      <c r="AA70" s="98">
        <f t="shared" si="1"/>
        <v>5351</v>
      </c>
      <c r="AB70" s="165">
        <f t="shared" si="3"/>
        <v>0</v>
      </c>
    </row>
    <row r="71" spans="2:81" ht="15" thickBot="1" x14ac:dyDescent="0.25">
      <c r="B71" s="189" t="s">
        <v>212</v>
      </c>
      <c r="C71" s="387" t="s">
        <v>213</v>
      </c>
      <c r="D71" s="388">
        <f>'BV Fig'!AD72</f>
        <v>2451</v>
      </c>
      <c r="F71" s="175">
        <f>'BV Fig'!I72</f>
        <v>13</v>
      </c>
      <c r="G71" s="109">
        <v>13</v>
      </c>
      <c r="H71" s="176"/>
      <c r="J71" s="110">
        <f>'BV Fig'!N72+'BV Fig'!O72</f>
        <v>2</v>
      </c>
      <c r="K71" s="107"/>
      <c r="L71" s="107">
        <v>2</v>
      </c>
      <c r="M71" s="107"/>
      <c r="N71" s="109"/>
      <c r="O71" s="176"/>
      <c r="Q71" s="110">
        <f>'BV Fig'!Q72+'BV Fig'!R72+'BV Fig'!S72</f>
        <v>6</v>
      </c>
      <c r="R71" s="175"/>
      <c r="S71" s="130">
        <v>6</v>
      </c>
      <c r="T71" s="109"/>
      <c r="U71" s="130"/>
      <c r="V71" s="130"/>
      <c r="W71" s="109"/>
      <c r="X71" s="109"/>
      <c r="Y71" s="132"/>
      <c r="AA71" s="98">
        <f t="shared" si="1"/>
        <v>2451</v>
      </c>
      <c r="AB71" s="165">
        <f t="shared" si="3"/>
        <v>0</v>
      </c>
    </row>
    <row r="72" spans="2:81" ht="15" thickBot="1" x14ac:dyDescent="0.25">
      <c r="B72" s="112"/>
      <c r="C72" s="135"/>
      <c r="AA72" s="98">
        <f t="shared" si="1"/>
        <v>0</v>
      </c>
      <c r="AB72" s="165">
        <f t="shared" si="3"/>
        <v>0</v>
      </c>
    </row>
    <row r="73" spans="2:81" s="368" customFormat="1" ht="12" thickBot="1" x14ac:dyDescent="0.2">
      <c r="B73" s="1099" t="s">
        <v>80</v>
      </c>
      <c r="C73" s="1100"/>
      <c r="D73" s="367">
        <f>SUM(D9:D72)</f>
        <v>1109486</v>
      </c>
      <c r="E73" s="486"/>
      <c r="F73" s="369">
        <f t="shared" ref="F73:W73" si="6">SUM(F9:F71)</f>
        <v>2407</v>
      </c>
      <c r="G73" s="369">
        <f t="shared" si="6"/>
        <v>2027</v>
      </c>
      <c r="H73" s="369">
        <f t="shared" si="6"/>
        <v>380</v>
      </c>
      <c r="I73" s="485">
        <f t="shared" si="6"/>
        <v>0</v>
      </c>
      <c r="J73" s="369">
        <f t="shared" si="6"/>
        <v>3423</v>
      </c>
      <c r="K73" s="369">
        <f t="shared" si="6"/>
        <v>154</v>
      </c>
      <c r="L73" s="369">
        <f t="shared" si="6"/>
        <v>1828</v>
      </c>
      <c r="M73" s="369">
        <f t="shared" si="6"/>
        <v>114</v>
      </c>
      <c r="N73" s="369">
        <f t="shared" si="6"/>
        <v>1068</v>
      </c>
      <c r="O73" s="369">
        <f t="shared" si="6"/>
        <v>259</v>
      </c>
      <c r="P73" s="485">
        <f t="shared" si="6"/>
        <v>0</v>
      </c>
      <c r="Q73" s="369">
        <f t="shared" si="6"/>
        <v>11164</v>
      </c>
      <c r="R73" s="369">
        <f t="shared" si="6"/>
        <v>1369</v>
      </c>
      <c r="S73" s="369">
        <f t="shared" si="6"/>
        <v>7522</v>
      </c>
      <c r="T73" s="369">
        <f t="shared" si="6"/>
        <v>176</v>
      </c>
      <c r="U73" s="369">
        <f t="shared" si="6"/>
        <v>1041</v>
      </c>
      <c r="V73" s="369">
        <f t="shared" si="6"/>
        <v>0</v>
      </c>
      <c r="W73" s="369">
        <f t="shared" si="6"/>
        <v>0</v>
      </c>
      <c r="X73" s="369">
        <f>SUM(X9:X71)</f>
        <v>292</v>
      </c>
      <c r="Y73" s="369">
        <f>SUM(Y9:Y71)</f>
        <v>764</v>
      </c>
      <c r="AA73" s="98">
        <f>SUM(AA9:AA72)</f>
        <v>1109481</v>
      </c>
      <c r="AB73" s="232">
        <f>SUM(D73)-AA73</f>
        <v>5</v>
      </c>
    </row>
    <row r="74" spans="2:81" x14ac:dyDescent="0.2">
      <c r="B74" s="135"/>
      <c r="C74" s="135"/>
    </row>
    <row r="75" spans="2:81" ht="15" x14ac:dyDescent="0.2">
      <c r="B75" s="169"/>
      <c r="C75" s="169"/>
    </row>
    <row r="76" spans="2:81" ht="15" x14ac:dyDescent="0.2">
      <c r="B76" s="137"/>
      <c r="C76" s="137"/>
    </row>
    <row r="77" spans="2:81" ht="15" x14ac:dyDescent="0.2">
      <c r="B77" s="136"/>
      <c r="C77" s="137"/>
    </row>
    <row r="78" spans="2:81" x14ac:dyDescent="0.2">
      <c r="B78" s="138"/>
      <c r="C78" s="93"/>
    </row>
    <row r="79" spans="2:81" x14ac:dyDescent="0.2">
      <c r="B79" s="138"/>
      <c r="C79" s="93"/>
    </row>
    <row r="80" spans="2:81" x14ac:dyDescent="0.2">
      <c r="B80" s="138"/>
      <c r="C80" s="93"/>
    </row>
    <row r="81" spans="2:3" x14ac:dyDescent="0.2">
      <c r="B81" s="138"/>
      <c r="C81" s="93"/>
    </row>
    <row r="82" spans="2:3" x14ac:dyDescent="0.2">
      <c r="B82" s="93"/>
      <c r="C82" s="93"/>
    </row>
    <row r="83" spans="2:3" x14ac:dyDescent="0.2">
      <c r="B83" s="93"/>
      <c r="C83" s="93"/>
    </row>
    <row r="84" spans="2:3" x14ac:dyDescent="0.2">
      <c r="B84" s="6"/>
      <c r="C84" s="141"/>
    </row>
    <row r="85" spans="2:3" x14ac:dyDescent="0.2">
      <c r="B85" s="6"/>
      <c r="C85" s="141"/>
    </row>
    <row r="86" spans="2:3" ht="15" x14ac:dyDescent="0.2">
      <c r="B86" s="142"/>
      <c r="C86" s="142"/>
    </row>
    <row r="87" spans="2:3" ht="15" x14ac:dyDescent="0.2">
      <c r="B87" s="142"/>
      <c r="C87" s="137"/>
    </row>
    <row r="88" spans="2:3" ht="15" x14ac:dyDescent="0.2">
      <c r="B88" s="137"/>
      <c r="C88" s="137"/>
    </row>
    <row r="89" spans="2:3" ht="15" x14ac:dyDescent="0.2">
      <c r="B89" s="137"/>
      <c r="C89" s="137"/>
    </row>
    <row r="90" spans="2:3" ht="15" x14ac:dyDescent="0.2">
      <c r="B90" s="137"/>
      <c r="C90" s="137"/>
    </row>
    <row r="91" spans="2:3" ht="15" x14ac:dyDescent="0.2">
      <c r="B91" s="137"/>
      <c r="C91" s="137"/>
    </row>
    <row r="92" spans="2:3" ht="15" x14ac:dyDescent="0.2">
      <c r="B92" s="137"/>
      <c r="C92" s="137"/>
    </row>
    <row r="93" spans="2:3" ht="15" x14ac:dyDescent="0.2">
      <c r="B93" s="137"/>
      <c r="C93" s="137"/>
    </row>
    <row r="94" spans="2:3" ht="15" x14ac:dyDescent="0.2">
      <c r="B94" s="137"/>
      <c r="C94" s="137"/>
    </row>
    <row r="95" spans="2:3" ht="15" x14ac:dyDescent="0.2">
      <c r="B95" s="137"/>
      <c r="C95" s="137"/>
    </row>
    <row r="96" spans="2:3" ht="15" x14ac:dyDescent="0.2">
      <c r="B96" s="137"/>
      <c r="C96" s="137"/>
    </row>
    <row r="97" spans="2:3" ht="15" x14ac:dyDescent="0.2">
      <c r="B97" s="137"/>
      <c r="C97" s="137"/>
    </row>
  </sheetData>
  <mergeCells count="29">
    <mergeCell ref="O6:O7"/>
    <mergeCell ref="Q6:Q7"/>
    <mergeCell ref="R6:R7"/>
    <mergeCell ref="Y6:Y7"/>
    <mergeCell ref="K6:K7"/>
    <mergeCell ref="L6:L7"/>
    <mergeCell ref="M6:M7"/>
    <mergeCell ref="S6:S7"/>
    <mergeCell ref="T6:T7"/>
    <mergeCell ref="U6:U7"/>
    <mergeCell ref="V6:V7"/>
    <mergeCell ref="W6:W7"/>
    <mergeCell ref="X6:X7"/>
    <mergeCell ref="B4:Y4"/>
    <mergeCell ref="B17:C17"/>
    <mergeCell ref="B73:C73"/>
    <mergeCell ref="B66:C66"/>
    <mergeCell ref="B56:C56"/>
    <mergeCell ref="B48:C48"/>
    <mergeCell ref="B36:C36"/>
    <mergeCell ref="B25:C25"/>
    <mergeCell ref="B6:B7"/>
    <mergeCell ref="C6:C7"/>
    <mergeCell ref="D6:D7"/>
    <mergeCell ref="F6:F7"/>
    <mergeCell ref="G6:G7"/>
    <mergeCell ref="H6:H7"/>
    <mergeCell ref="J6:J7"/>
    <mergeCell ref="N6:N7"/>
  </mergeCells>
  <pageMargins left="0.84" right="0.15748031496063" top="0.196850393700787" bottom="0.2" header="0.2" footer="0.118110236220472"/>
  <pageSetup paperSize="5" scale="57" orientation="landscape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opLeftCell="B1" workbookViewId="0">
      <pane xSplit="6" ySplit="5" topLeftCell="S30" activePane="bottomRight" state="frozen"/>
      <selection activeCell="B1" sqref="B1"/>
      <selection pane="topRight" activeCell="H1" sqref="H1"/>
      <selection pane="bottomLeft" activeCell="B6" sqref="B6"/>
      <selection pane="bottomRight" activeCell="W38" sqref="W38"/>
    </sheetView>
  </sheetViews>
  <sheetFormatPr defaultRowHeight="15" x14ac:dyDescent="0.25"/>
  <cols>
    <col min="2" max="2" width="17.42578125" customWidth="1"/>
    <col min="3" max="3" width="23.85546875" customWidth="1"/>
  </cols>
  <sheetData>
    <row r="1" spans="2:21" ht="18" x14ac:dyDescent="0.25">
      <c r="B1" s="1109" t="s">
        <v>311</v>
      </c>
      <c r="C1" s="1109"/>
      <c r="D1" s="1109"/>
      <c r="E1" s="1109"/>
      <c r="F1" s="1109"/>
      <c r="G1" s="1109"/>
      <c r="H1" s="1109"/>
      <c r="I1" s="1109"/>
      <c r="J1" s="1109"/>
      <c r="K1" s="1109"/>
      <c r="L1" s="1109"/>
      <c r="M1" s="1109"/>
      <c r="N1" s="1109"/>
      <c r="O1" s="1109"/>
      <c r="P1" s="1109"/>
      <c r="Q1" s="1109"/>
      <c r="R1" s="1109"/>
      <c r="S1" s="1109"/>
      <c r="T1" s="50"/>
      <c r="U1" s="50"/>
    </row>
    <row r="2" spans="2:21" ht="15.75" thickBot="1" x14ac:dyDescent="0.3">
      <c r="B2" s="50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0"/>
      <c r="U2" s="50"/>
    </row>
    <row r="3" spans="2:21" x14ac:dyDescent="0.25">
      <c r="B3" s="1110" t="s">
        <v>0</v>
      </c>
      <c r="C3" s="1113" t="s">
        <v>104</v>
      </c>
      <c r="D3" s="1116" t="s">
        <v>105</v>
      </c>
      <c r="E3" s="1117"/>
      <c r="F3" s="1117"/>
      <c r="G3" s="1117"/>
      <c r="H3" s="1116" t="s">
        <v>122</v>
      </c>
      <c r="I3" s="1118"/>
      <c r="J3" s="1116" t="s">
        <v>105</v>
      </c>
      <c r="K3" s="1117"/>
      <c r="L3" s="1117"/>
      <c r="M3" s="1118"/>
      <c r="N3" s="1117" t="s">
        <v>122</v>
      </c>
      <c r="O3" s="1118"/>
      <c r="P3" s="1116" t="s">
        <v>106</v>
      </c>
      <c r="Q3" s="1117"/>
      <c r="R3" s="1117"/>
      <c r="S3" s="1118"/>
      <c r="T3" s="1119" t="s">
        <v>122</v>
      </c>
      <c r="U3" s="1118"/>
    </row>
    <row r="4" spans="2:21" x14ac:dyDescent="0.25">
      <c r="B4" s="1111"/>
      <c r="C4" s="1114"/>
      <c r="D4" s="1120" t="s">
        <v>107</v>
      </c>
      <c r="E4" s="1121"/>
      <c r="F4" s="1121"/>
      <c r="G4" s="1121"/>
      <c r="H4" s="1121"/>
      <c r="I4" s="1122"/>
      <c r="J4" s="1120" t="s">
        <v>108</v>
      </c>
      <c r="K4" s="1121"/>
      <c r="L4" s="1121"/>
      <c r="M4" s="1121"/>
      <c r="N4" s="1121"/>
      <c r="O4" s="1122"/>
      <c r="P4" s="1123" t="s">
        <v>109</v>
      </c>
      <c r="Q4" s="1124"/>
      <c r="R4" s="1124"/>
      <c r="S4" s="1124"/>
      <c r="T4" s="1124"/>
      <c r="U4" s="1125"/>
    </row>
    <row r="5" spans="2:21" ht="15.75" thickBot="1" x14ac:dyDescent="0.3">
      <c r="B5" s="1112"/>
      <c r="C5" s="1115"/>
      <c r="D5" s="52" t="s">
        <v>151</v>
      </c>
      <c r="E5" s="53" t="s">
        <v>152</v>
      </c>
      <c r="F5" s="53" t="s">
        <v>150</v>
      </c>
      <c r="G5" s="70" t="s">
        <v>153</v>
      </c>
      <c r="H5" s="52" t="s">
        <v>152</v>
      </c>
      <c r="I5" s="258" t="s">
        <v>150</v>
      </c>
      <c r="J5" s="52" t="s">
        <v>151</v>
      </c>
      <c r="K5" s="71" t="s">
        <v>152</v>
      </c>
      <c r="L5" s="71" t="s">
        <v>150</v>
      </c>
      <c r="M5" s="263" t="s">
        <v>153</v>
      </c>
      <c r="N5" s="71" t="s">
        <v>152</v>
      </c>
      <c r="O5" s="53" t="s">
        <v>150</v>
      </c>
      <c r="P5" s="52" t="s">
        <v>151</v>
      </c>
      <c r="Q5" s="72" t="s">
        <v>152</v>
      </c>
      <c r="R5" s="72" t="s">
        <v>150</v>
      </c>
      <c r="S5" s="263" t="s">
        <v>153</v>
      </c>
      <c r="T5" s="272" t="s">
        <v>152</v>
      </c>
      <c r="U5" s="273" t="s">
        <v>150</v>
      </c>
    </row>
    <row r="6" spans="2:21" x14ac:dyDescent="0.25">
      <c r="B6" s="279" t="s">
        <v>84</v>
      </c>
      <c r="C6" s="280" t="s">
        <v>263</v>
      </c>
      <c r="D6" s="408">
        <v>0</v>
      </c>
      <c r="E6" s="409">
        <v>62</v>
      </c>
      <c r="F6" s="409">
        <v>18</v>
      </c>
      <c r="G6" s="410">
        <v>0</v>
      </c>
      <c r="H6" s="279"/>
      <c r="I6" s="323"/>
      <c r="J6" s="466">
        <v>0</v>
      </c>
      <c r="K6" s="245">
        <v>60</v>
      </c>
      <c r="L6" s="245">
        <v>18</v>
      </c>
      <c r="M6" s="350"/>
      <c r="N6" s="260"/>
      <c r="O6" s="244"/>
      <c r="P6" s="246">
        <f t="shared" ref="P6:U23" si="0">IF(J6&lt;=D6,J6,IF(D6&lt;=J6,D6))</f>
        <v>0</v>
      </c>
      <c r="Q6" s="266">
        <f t="shared" si="0"/>
        <v>60</v>
      </c>
      <c r="R6" s="266">
        <f t="shared" si="0"/>
        <v>18</v>
      </c>
      <c r="S6" s="267">
        <f t="shared" si="0"/>
        <v>0</v>
      </c>
      <c r="T6" s="246">
        <f t="shared" si="0"/>
        <v>0</v>
      </c>
      <c r="U6" s="267">
        <f t="shared" si="0"/>
        <v>0</v>
      </c>
    </row>
    <row r="7" spans="2:21" x14ac:dyDescent="0.25">
      <c r="B7" s="278" t="s">
        <v>113</v>
      </c>
      <c r="C7" s="277" t="s">
        <v>264</v>
      </c>
      <c r="D7" s="352">
        <v>0</v>
      </c>
      <c r="E7" s="276"/>
      <c r="F7" s="608"/>
      <c r="G7" s="353">
        <v>0</v>
      </c>
      <c r="H7" s="278"/>
      <c r="I7" s="324"/>
      <c r="J7" s="457">
        <v>0</v>
      </c>
      <c r="K7" s="250"/>
      <c r="L7" s="454"/>
      <c r="M7" s="349"/>
      <c r="N7" s="261"/>
      <c r="O7" s="249"/>
      <c r="P7" s="251">
        <f t="shared" si="0"/>
        <v>0</v>
      </c>
      <c r="Q7" s="268">
        <f t="shared" si="0"/>
        <v>0</v>
      </c>
      <c r="R7" s="268">
        <f t="shared" si="0"/>
        <v>0</v>
      </c>
      <c r="S7" s="269">
        <f t="shared" si="0"/>
        <v>0</v>
      </c>
      <c r="T7" s="251">
        <f t="shared" si="0"/>
        <v>0</v>
      </c>
      <c r="U7" s="269">
        <f t="shared" si="0"/>
        <v>0</v>
      </c>
    </row>
    <row r="8" spans="2:21" x14ac:dyDescent="0.25">
      <c r="B8" s="278" t="s">
        <v>114</v>
      </c>
      <c r="C8" s="616" t="s">
        <v>305</v>
      </c>
      <c r="D8" s="352">
        <v>0</v>
      </c>
      <c r="E8" s="276">
        <v>95</v>
      </c>
      <c r="F8" s="276">
        <v>130</v>
      </c>
      <c r="G8" s="353">
        <v>0</v>
      </c>
      <c r="H8" s="278"/>
      <c r="I8" s="324"/>
      <c r="J8" s="352">
        <v>0</v>
      </c>
      <c r="K8" s="250">
        <v>95</v>
      </c>
      <c r="L8" s="250">
        <v>130</v>
      </c>
      <c r="M8" s="349"/>
      <c r="N8" s="261"/>
      <c r="O8" s="249"/>
      <c r="P8" s="251">
        <f t="shared" si="0"/>
        <v>0</v>
      </c>
      <c r="Q8" s="268">
        <f t="shared" si="0"/>
        <v>95</v>
      </c>
      <c r="R8" s="268">
        <f t="shared" si="0"/>
        <v>130</v>
      </c>
      <c r="S8" s="269">
        <f t="shared" si="0"/>
        <v>0</v>
      </c>
      <c r="T8" s="251">
        <f t="shared" si="0"/>
        <v>0</v>
      </c>
      <c r="U8" s="269">
        <f t="shared" si="0"/>
        <v>0</v>
      </c>
    </row>
    <row r="9" spans="2:21" x14ac:dyDescent="0.25">
      <c r="B9" s="278" t="s">
        <v>115</v>
      </c>
      <c r="C9" s="277" t="s">
        <v>268</v>
      </c>
      <c r="D9" s="352">
        <v>0</v>
      </c>
      <c r="E9" s="276"/>
      <c r="F9" s="276"/>
      <c r="G9" s="353">
        <v>0</v>
      </c>
      <c r="H9" s="278"/>
      <c r="I9" s="324"/>
      <c r="J9" s="352">
        <v>0</v>
      </c>
      <c r="K9" s="250"/>
      <c r="L9" s="250"/>
      <c r="M9" s="349"/>
      <c r="N9" s="261"/>
      <c r="O9" s="249"/>
      <c r="P9" s="251">
        <f t="shared" si="0"/>
        <v>0</v>
      </c>
      <c r="Q9" s="268">
        <f t="shared" si="0"/>
        <v>0</v>
      </c>
      <c r="R9" s="268">
        <f t="shared" si="0"/>
        <v>0</v>
      </c>
      <c r="S9" s="269">
        <f t="shared" si="0"/>
        <v>0</v>
      </c>
      <c r="T9" s="251">
        <f t="shared" si="0"/>
        <v>0</v>
      </c>
      <c r="U9" s="269">
        <f t="shared" si="0"/>
        <v>0</v>
      </c>
    </row>
    <row r="10" spans="2:21" x14ac:dyDescent="0.25">
      <c r="B10" s="535" t="str">
        <f>'[1]water fig'!B10</f>
        <v>Akkareipathtu</v>
      </c>
      <c r="C10" s="536" t="str">
        <f>'water Fig'!C10</f>
        <v>Cosco Marketing</v>
      </c>
      <c r="D10" s="352">
        <v>0</v>
      </c>
      <c r="E10" s="276">
        <v>14</v>
      </c>
      <c r="F10" s="276">
        <v>15</v>
      </c>
      <c r="G10" s="353">
        <v>0</v>
      </c>
      <c r="H10" s="278"/>
      <c r="I10" s="324"/>
      <c r="J10" s="352">
        <v>0</v>
      </c>
      <c r="K10" s="250">
        <v>14</v>
      </c>
      <c r="L10" s="250">
        <v>15</v>
      </c>
      <c r="M10" s="349"/>
      <c r="N10" s="261"/>
      <c r="O10" s="249"/>
      <c r="P10" s="251">
        <f t="shared" si="0"/>
        <v>0</v>
      </c>
      <c r="Q10" s="268">
        <f t="shared" si="0"/>
        <v>14</v>
      </c>
      <c r="R10" s="268">
        <f t="shared" si="0"/>
        <v>15</v>
      </c>
      <c r="S10" s="269">
        <f t="shared" si="0"/>
        <v>0</v>
      </c>
      <c r="T10" s="251">
        <f t="shared" si="0"/>
        <v>0</v>
      </c>
      <c r="U10" s="269">
        <f t="shared" si="0"/>
        <v>0</v>
      </c>
    </row>
    <row r="11" spans="2:21" x14ac:dyDescent="0.25">
      <c r="B11" s="534" t="s">
        <v>86</v>
      </c>
      <c r="C11" s="536" t="str">
        <f>'water Fig'!C11</f>
        <v>P.Prathanjani</v>
      </c>
      <c r="D11" s="494">
        <v>0</v>
      </c>
      <c r="E11" s="495">
        <v>4</v>
      </c>
      <c r="F11" s="495">
        <v>1</v>
      </c>
      <c r="G11" s="496">
        <v>0</v>
      </c>
      <c r="H11" s="493"/>
      <c r="I11" s="497"/>
      <c r="J11" s="494">
        <v>0</v>
      </c>
      <c r="K11" s="498">
        <v>4</v>
      </c>
      <c r="L11" s="498">
        <v>1</v>
      </c>
      <c r="M11" s="499"/>
      <c r="N11" s="500"/>
      <c r="O11" s="501"/>
      <c r="P11" s="502">
        <f t="shared" si="0"/>
        <v>0</v>
      </c>
      <c r="Q11" s="503">
        <f t="shared" si="0"/>
        <v>4</v>
      </c>
      <c r="R11" s="503">
        <f t="shared" si="0"/>
        <v>1</v>
      </c>
      <c r="S11" s="504">
        <f t="shared" si="0"/>
        <v>0</v>
      </c>
      <c r="T11" s="502">
        <f t="shared" si="0"/>
        <v>0</v>
      </c>
      <c r="U11" s="504">
        <f t="shared" si="0"/>
        <v>0</v>
      </c>
    </row>
    <row r="12" spans="2:21" x14ac:dyDescent="0.25">
      <c r="B12" s="535" t="str">
        <f>'[1]water fig'!B12</f>
        <v>Polonnaruwa</v>
      </c>
      <c r="C12" s="536" t="str">
        <f>'water Fig'!C12</f>
        <v>Sonwel Distributors</v>
      </c>
      <c r="D12" s="352">
        <v>0</v>
      </c>
      <c r="E12" s="276">
        <v>4</v>
      </c>
      <c r="F12" s="276">
        <v>4</v>
      </c>
      <c r="G12" s="507">
        <v>0</v>
      </c>
      <c r="H12" s="278"/>
      <c r="I12" s="324"/>
      <c r="J12" s="352">
        <v>0</v>
      </c>
      <c r="K12" s="250">
        <v>4</v>
      </c>
      <c r="L12" s="250">
        <v>4</v>
      </c>
      <c r="M12" s="349"/>
      <c r="N12" s="261"/>
      <c r="O12" s="249"/>
      <c r="P12" s="251">
        <f t="shared" si="0"/>
        <v>0</v>
      </c>
      <c r="Q12" s="268">
        <f t="shared" si="0"/>
        <v>4</v>
      </c>
      <c r="R12" s="268">
        <f t="shared" si="0"/>
        <v>4</v>
      </c>
      <c r="S12" s="505">
        <f t="shared" si="0"/>
        <v>0</v>
      </c>
      <c r="T12" s="506">
        <f t="shared" si="0"/>
        <v>0</v>
      </c>
      <c r="U12" s="269">
        <f t="shared" si="0"/>
        <v>0</v>
      </c>
    </row>
    <row r="13" spans="2:21" ht="15.75" thickBot="1" x14ac:dyDescent="0.3">
      <c r="B13" s="281" t="s">
        <v>83</v>
      </c>
      <c r="C13" s="282" t="str">
        <f>'water Fig'!C13</f>
        <v>SKNY Distributor</v>
      </c>
      <c r="D13" s="411">
        <v>0</v>
      </c>
      <c r="E13" s="412">
        <v>5</v>
      </c>
      <c r="F13" s="412">
        <v>5</v>
      </c>
      <c r="G13" s="413">
        <v>0</v>
      </c>
      <c r="H13" s="281"/>
      <c r="I13" s="414"/>
      <c r="J13" s="411">
        <v>0</v>
      </c>
      <c r="K13" s="248">
        <v>5</v>
      </c>
      <c r="L13" s="248">
        <v>5</v>
      </c>
      <c r="M13" s="351"/>
      <c r="N13" s="262"/>
      <c r="O13" s="247"/>
      <c r="P13" s="48">
        <f t="shared" si="0"/>
        <v>0</v>
      </c>
      <c r="Q13" s="270">
        <f t="shared" si="0"/>
        <v>5</v>
      </c>
      <c r="R13" s="270">
        <f t="shared" si="0"/>
        <v>5</v>
      </c>
      <c r="S13" s="271">
        <f t="shared" si="0"/>
        <v>0</v>
      </c>
      <c r="T13" s="48">
        <f t="shared" si="0"/>
        <v>0</v>
      </c>
      <c r="U13" s="271">
        <f t="shared" si="0"/>
        <v>0</v>
      </c>
    </row>
    <row r="14" spans="2:21" ht="15.75" thickBot="1" x14ac:dyDescent="0.3">
      <c r="B14" s="283"/>
      <c r="C14" s="283"/>
      <c r="D14" s="283"/>
      <c r="E14" s="283"/>
      <c r="F14" s="283"/>
      <c r="G14" s="283"/>
      <c r="H14" s="283"/>
      <c r="I14" s="283"/>
      <c r="J14" s="283"/>
      <c r="K14" s="68"/>
      <c r="L14" s="68"/>
      <c r="M14" s="68"/>
      <c r="N14" s="54"/>
      <c r="O14" s="54"/>
      <c r="P14" s="69">
        <f t="shared" si="0"/>
        <v>0</v>
      </c>
      <c r="Q14" s="69">
        <f t="shared" si="0"/>
        <v>0</v>
      </c>
      <c r="R14" s="69">
        <f t="shared" si="0"/>
        <v>0</v>
      </c>
      <c r="S14" s="69">
        <f t="shared" si="0"/>
        <v>0</v>
      </c>
      <c r="T14" s="73"/>
      <c r="U14" s="73"/>
    </row>
    <row r="15" spans="2:21" x14ac:dyDescent="0.25">
      <c r="B15" s="259" t="s">
        <v>82</v>
      </c>
      <c r="C15" s="465" t="s">
        <v>265</v>
      </c>
      <c r="D15" s="466">
        <v>0</v>
      </c>
      <c r="E15" s="467">
        <v>46</v>
      </c>
      <c r="F15" s="467">
        <v>184</v>
      </c>
      <c r="G15" s="1016"/>
      <c r="H15" s="467"/>
      <c r="I15" s="469"/>
      <c r="J15" s="466"/>
      <c r="K15" s="470">
        <v>37</v>
      </c>
      <c r="L15" s="471">
        <v>184</v>
      </c>
      <c r="M15" s="472"/>
      <c r="N15" s="473"/>
      <c r="O15" s="474"/>
      <c r="P15" s="475">
        <f t="shared" si="0"/>
        <v>0</v>
      </c>
      <c r="Q15" s="476">
        <f t="shared" si="0"/>
        <v>37</v>
      </c>
      <c r="R15" s="476">
        <f t="shared" si="0"/>
        <v>184</v>
      </c>
      <c r="S15" s="477">
        <f t="shared" si="0"/>
        <v>0</v>
      </c>
      <c r="T15" s="475">
        <f t="shared" si="0"/>
        <v>0</v>
      </c>
      <c r="U15" s="477">
        <f t="shared" si="0"/>
        <v>0</v>
      </c>
    </row>
    <row r="16" spans="2:21" x14ac:dyDescent="0.25">
      <c r="B16" s="478" t="s">
        <v>181</v>
      </c>
      <c r="C16" s="456" t="s">
        <v>276</v>
      </c>
      <c r="D16" s="352">
        <v>0</v>
      </c>
      <c r="E16" s="276">
        <v>6</v>
      </c>
      <c r="F16" s="276">
        <v>25</v>
      </c>
      <c r="G16" s="353"/>
      <c r="H16" s="278"/>
      <c r="I16" s="324"/>
      <c r="J16" s="457"/>
      <c r="K16" s="458">
        <v>6</v>
      </c>
      <c r="L16" s="459">
        <v>25</v>
      </c>
      <c r="M16" s="460"/>
      <c r="N16" s="260"/>
      <c r="O16" s="461"/>
      <c r="P16" s="462">
        <f t="shared" si="0"/>
        <v>0</v>
      </c>
      <c r="Q16" s="463">
        <f t="shared" si="0"/>
        <v>6</v>
      </c>
      <c r="R16" s="463">
        <f t="shared" si="0"/>
        <v>25</v>
      </c>
      <c r="S16" s="464">
        <f t="shared" si="0"/>
        <v>0</v>
      </c>
      <c r="T16" s="462">
        <f t="shared" si="0"/>
        <v>0</v>
      </c>
      <c r="U16" s="464">
        <f t="shared" si="0"/>
        <v>0</v>
      </c>
    </row>
    <row r="17" spans="1:21" ht="15.75" thickBot="1" x14ac:dyDescent="0.3">
      <c r="B17" s="321" t="s">
        <v>266</v>
      </c>
      <c r="C17" s="320" t="s">
        <v>267</v>
      </c>
      <c r="D17" s="1017">
        <v>2</v>
      </c>
      <c r="E17" s="407">
        <v>14</v>
      </c>
      <c r="F17" s="407">
        <v>6</v>
      </c>
      <c r="G17" s="415">
        <v>50</v>
      </c>
      <c r="H17" s="321"/>
      <c r="I17" s="416"/>
      <c r="J17" s="321">
        <v>2</v>
      </c>
      <c r="K17" s="254">
        <v>11</v>
      </c>
      <c r="L17" s="254">
        <v>5</v>
      </c>
      <c r="M17" s="265">
        <v>50</v>
      </c>
      <c r="N17" s="264"/>
      <c r="O17" s="253"/>
      <c r="P17" s="255">
        <f t="shared" si="0"/>
        <v>2</v>
      </c>
      <c r="Q17" s="274">
        <f t="shared" si="0"/>
        <v>11</v>
      </c>
      <c r="R17" s="274">
        <f t="shared" si="0"/>
        <v>5</v>
      </c>
      <c r="S17" s="275">
        <f t="shared" si="0"/>
        <v>50</v>
      </c>
      <c r="T17" s="255">
        <f t="shared" si="0"/>
        <v>0</v>
      </c>
      <c r="U17" s="275">
        <f t="shared" si="0"/>
        <v>0</v>
      </c>
    </row>
    <row r="18" spans="1:21" ht="15.75" thickBot="1" x14ac:dyDescent="0.3">
      <c r="B18" s="283"/>
      <c r="C18" s="283"/>
      <c r="D18" s="283"/>
      <c r="E18" s="283"/>
      <c r="F18" s="283"/>
      <c r="G18" s="283"/>
      <c r="H18" s="283"/>
      <c r="I18" s="283"/>
      <c r="J18" s="283"/>
      <c r="K18" s="68"/>
      <c r="L18" s="68"/>
      <c r="M18" s="68"/>
      <c r="N18" s="54"/>
      <c r="O18" s="54"/>
      <c r="P18" s="69">
        <f t="shared" si="0"/>
        <v>0</v>
      </c>
      <c r="Q18" s="69">
        <f t="shared" si="0"/>
        <v>0</v>
      </c>
      <c r="R18" s="69">
        <f t="shared" si="0"/>
        <v>0</v>
      </c>
      <c r="S18" s="69">
        <f t="shared" si="0"/>
        <v>0</v>
      </c>
      <c r="T18" s="73"/>
      <c r="U18" s="73"/>
    </row>
    <row r="19" spans="1:21" x14ac:dyDescent="0.25">
      <c r="B19" s="468" t="s">
        <v>195</v>
      </c>
      <c r="C19" s="469" t="s">
        <v>299</v>
      </c>
      <c r="D19" s="601"/>
      <c r="E19" s="467">
        <v>9</v>
      </c>
      <c r="F19" s="467">
        <v>8</v>
      </c>
      <c r="G19" s="1014">
        <v>3</v>
      </c>
      <c r="H19" s="468"/>
      <c r="I19" s="469"/>
      <c r="J19" s="601"/>
      <c r="K19" s="470">
        <v>8</v>
      </c>
      <c r="L19" s="470">
        <v>8</v>
      </c>
      <c r="M19" s="603">
        <v>2</v>
      </c>
      <c r="N19" s="473"/>
      <c r="O19" s="471"/>
      <c r="P19" s="475">
        <f t="shared" ref="P19:P20" si="1">IF(J19&lt;=D19,J19,IF(D19&lt;=J19,D19))</f>
        <v>0</v>
      </c>
      <c r="Q19" s="476">
        <f t="shared" ref="Q19:Q20" si="2">IF(K19&lt;=E19,K19,IF(E19&lt;=K19,E19))</f>
        <v>8</v>
      </c>
      <c r="R19" s="476">
        <f t="shared" ref="R19:R20" si="3">IF(L19&lt;=F19,L19,IF(F19&lt;=L19,F19))</f>
        <v>8</v>
      </c>
      <c r="S19" s="476">
        <f t="shared" ref="S19:S20" si="4">IF(M19&lt;=G19,M19,IF(G19&lt;=M19,G19))</f>
        <v>2</v>
      </c>
      <c r="T19" s="476">
        <f t="shared" ref="T19:T23" si="5">IF(N19&lt;=H19,N19,IF(H19&lt;=N19,H19))</f>
        <v>0</v>
      </c>
      <c r="U19" s="477">
        <f t="shared" ref="U19:U20" si="6">IF(O19&lt;=I19,O19,IF(I19&lt;=O19,I19))</f>
        <v>0</v>
      </c>
    </row>
    <row r="20" spans="1:21" x14ac:dyDescent="0.25">
      <c r="B20" s="493" t="s">
        <v>178</v>
      </c>
      <c r="C20" s="497" t="s">
        <v>300</v>
      </c>
      <c r="D20" s="617"/>
      <c r="E20" s="495"/>
      <c r="F20" s="495"/>
      <c r="G20" s="1015"/>
      <c r="H20" s="493"/>
      <c r="I20" s="497"/>
      <c r="J20" s="617"/>
      <c r="K20" s="498"/>
      <c r="L20" s="498"/>
      <c r="M20" s="618"/>
      <c r="N20" s="500"/>
      <c r="O20" s="619"/>
      <c r="P20" s="502">
        <f t="shared" si="1"/>
        <v>0</v>
      </c>
      <c r="Q20" s="503">
        <f t="shared" si="2"/>
        <v>0</v>
      </c>
      <c r="R20" s="503">
        <f t="shared" si="3"/>
        <v>0</v>
      </c>
      <c r="S20" s="503">
        <f t="shared" si="4"/>
        <v>0</v>
      </c>
      <c r="T20" s="503">
        <f t="shared" si="5"/>
        <v>0</v>
      </c>
      <c r="U20" s="504">
        <f t="shared" si="6"/>
        <v>0</v>
      </c>
    </row>
    <row r="21" spans="1:21" s="624" customFormat="1" x14ac:dyDescent="0.25">
      <c r="A21" s="610"/>
      <c r="B21" s="493" t="s">
        <v>286</v>
      </c>
      <c r="C21" s="497" t="s">
        <v>306</v>
      </c>
      <c r="D21" s="617"/>
      <c r="E21" s="495">
        <v>9</v>
      </c>
      <c r="F21" s="495">
        <v>8</v>
      </c>
      <c r="G21" s="1015"/>
      <c r="H21" s="493"/>
      <c r="I21" s="497"/>
      <c r="J21" s="617"/>
      <c r="K21" s="498">
        <v>9</v>
      </c>
      <c r="L21" s="498">
        <v>8</v>
      </c>
      <c r="M21" s="498"/>
      <c r="N21" s="619"/>
      <c r="O21" s="619"/>
      <c r="P21" s="502">
        <f t="shared" ref="P21:P22" si="7">IF(J21&lt;=D21,J21,IF(D21&lt;=J21,D21))</f>
        <v>0</v>
      </c>
      <c r="Q21" s="503">
        <f t="shared" ref="Q21:Q22" si="8">IF(K21&lt;=E21,K21,IF(E21&lt;=K21,E21))</f>
        <v>9</v>
      </c>
      <c r="R21" s="503">
        <f t="shared" ref="R21:R22" si="9">IF(L21&lt;=F21,L21,IF(F21&lt;=L21,F21))</f>
        <v>8</v>
      </c>
      <c r="S21" s="503">
        <f t="shared" ref="S21:S22" si="10">IF(M21&lt;=G21,M21,IF(G21&lt;=M21,G21))</f>
        <v>0</v>
      </c>
      <c r="T21" s="503">
        <f t="shared" si="5"/>
        <v>0</v>
      </c>
      <c r="U21" s="504">
        <f t="shared" ref="U21:U22" si="11">IF(O21&lt;=I21,O21,IF(I21&lt;=O21,I21))</f>
        <v>0</v>
      </c>
    </row>
    <row r="22" spans="1:21" s="558" customFormat="1" x14ac:dyDescent="0.25">
      <c r="A22" s="592"/>
      <c r="B22" s="278" t="s">
        <v>307</v>
      </c>
      <c r="C22" s="324" t="s">
        <v>308</v>
      </c>
      <c r="D22" s="602">
        <v>29</v>
      </c>
      <c r="E22" s="276">
        <v>99</v>
      </c>
      <c r="F22" s="276">
        <v>63</v>
      </c>
      <c r="G22" s="277">
        <v>20</v>
      </c>
      <c r="H22" s="278"/>
      <c r="I22" s="324"/>
      <c r="J22" s="602">
        <v>29</v>
      </c>
      <c r="K22" s="250">
        <v>99</v>
      </c>
      <c r="L22" s="250">
        <v>63</v>
      </c>
      <c r="M22" s="250">
        <v>20</v>
      </c>
      <c r="N22" s="557"/>
      <c r="O22" s="557"/>
      <c r="P22" s="251">
        <f t="shared" si="7"/>
        <v>29</v>
      </c>
      <c r="Q22" s="268">
        <f t="shared" si="8"/>
        <v>99</v>
      </c>
      <c r="R22" s="268">
        <f t="shared" si="9"/>
        <v>63</v>
      </c>
      <c r="S22" s="268">
        <f t="shared" si="10"/>
        <v>20</v>
      </c>
      <c r="T22" s="503">
        <f t="shared" si="5"/>
        <v>0</v>
      </c>
      <c r="U22" s="269">
        <f t="shared" si="11"/>
        <v>0</v>
      </c>
    </row>
    <row r="23" spans="1:21" ht="15.75" thickBot="1" x14ac:dyDescent="0.3">
      <c r="B23" s="281" t="s">
        <v>117</v>
      </c>
      <c r="C23" s="282" t="s">
        <v>217</v>
      </c>
      <c r="D23" s="620">
        <v>2</v>
      </c>
      <c r="E23" s="621">
        <v>23</v>
      </c>
      <c r="F23" s="412">
        <v>19</v>
      </c>
      <c r="G23" s="282">
        <v>31</v>
      </c>
      <c r="H23" s="281"/>
      <c r="I23" s="414"/>
      <c r="J23" s="622">
        <v>2</v>
      </c>
      <c r="K23" s="248">
        <v>23</v>
      </c>
      <c r="L23" s="248">
        <v>19</v>
      </c>
      <c r="M23" s="623">
        <v>31</v>
      </c>
      <c r="N23" s="262"/>
      <c r="O23" s="554"/>
      <c r="P23" s="48">
        <f t="shared" si="0"/>
        <v>2</v>
      </c>
      <c r="Q23" s="270">
        <f t="shared" si="0"/>
        <v>23</v>
      </c>
      <c r="R23" s="270">
        <f t="shared" si="0"/>
        <v>19</v>
      </c>
      <c r="S23" s="270">
        <f t="shared" si="0"/>
        <v>31</v>
      </c>
      <c r="T23" s="274">
        <f t="shared" si="5"/>
        <v>0</v>
      </c>
      <c r="U23" s="271">
        <f t="shared" si="0"/>
        <v>0</v>
      </c>
    </row>
    <row r="24" spans="1:21" ht="15.75" thickBot="1" x14ac:dyDescent="0.3">
      <c r="B24" s="68"/>
      <c r="C24" s="54"/>
      <c r="D24" s="54"/>
      <c r="E24" s="54"/>
      <c r="F24" s="54"/>
      <c r="G24" s="54"/>
      <c r="H24" s="54"/>
      <c r="I24" s="54"/>
      <c r="J24" s="68"/>
      <c r="K24" s="68"/>
      <c r="L24" s="68"/>
      <c r="M24" s="68"/>
      <c r="N24" s="54"/>
      <c r="O24" s="54"/>
      <c r="P24" s="69"/>
      <c r="Q24" s="69"/>
      <c r="R24" s="69"/>
      <c r="S24" s="69"/>
      <c r="T24" s="73"/>
      <c r="U24" s="73"/>
    </row>
    <row r="25" spans="1:21" x14ac:dyDescent="0.25">
      <c r="B25" s="257" t="s">
        <v>157</v>
      </c>
      <c r="C25" s="561" t="s">
        <v>289</v>
      </c>
      <c r="D25" s="565"/>
      <c r="E25" s="243">
        <v>140</v>
      </c>
      <c r="F25" s="243">
        <v>80</v>
      </c>
      <c r="G25" s="559"/>
      <c r="H25" s="252">
        <v>88</v>
      </c>
      <c r="I25" s="244">
        <v>34</v>
      </c>
      <c r="J25" s="604"/>
      <c r="K25" s="245">
        <v>140</v>
      </c>
      <c r="L25" s="245">
        <v>80</v>
      </c>
      <c r="M25" s="354"/>
      <c r="N25" s="252">
        <v>87</v>
      </c>
      <c r="O25" s="256">
        <v>34</v>
      </c>
      <c r="P25" s="475">
        <f t="shared" ref="P25:U27" si="12">IF(J25&lt;=D25,J25,IF(D25&lt;=J25,D25))</f>
        <v>0</v>
      </c>
      <c r="Q25" s="476">
        <f t="shared" si="12"/>
        <v>140</v>
      </c>
      <c r="R25" s="476">
        <f t="shared" si="12"/>
        <v>80</v>
      </c>
      <c r="S25" s="477">
        <f t="shared" si="12"/>
        <v>0</v>
      </c>
      <c r="T25" s="582">
        <f t="shared" si="12"/>
        <v>87</v>
      </c>
      <c r="U25" s="583">
        <f t="shared" si="12"/>
        <v>34</v>
      </c>
    </row>
    <row r="26" spans="1:21" s="558" customFormat="1" x14ac:dyDescent="0.25">
      <c r="B26" s="250" t="s">
        <v>296</v>
      </c>
      <c r="C26" s="562" t="s">
        <v>297</v>
      </c>
      <c r="D26" s="564"/>
      <c r="E26" s="557">
        <v>24</v>
      </c>
      <c r="F26" s="557">
        <v>10</v>
      </c>
      <c r="G26" s="560"/>
      <c r="H26" s="261">
        <v>5</v>
      </c>
      <c r="I26" s="249"/>
      <c r="J26" s="605"/>
      <c r="K26" s="250">
        <v>24</v>
      </c>
      <c r="L26" s="250">
        <v>10</v>
      </c>
      <c r="M26" s="349"/>
      <c r="N26" s="261">
        <v>5</v>
      </c>
      <c r="O26" s="557"/>
      <c r="P26" s="586">
        <f t="shared" si="12"/>
        <v>0</v>
      </c>
      <c r="Q26" s="587">
        <f t="shared" si="12"/>
        <v>24</v>
      </c>
      <c r="R26" s="587">
        <f t="shared" si="12"/>
        <v>10</v>
      </c>
      <c r="S26" s="588">
        <f t="shared" si="12"/>
        <v>0</v>
      </c>
      <c r="T26" s="589">
        <f t="shared" si="12"/>
        <v>5</v>
      </c>
      <c r="U26" s="590">
        <f t="shared" si="12"/>
        <v>0</v>
      </c>
    </row>
    <row r="27" spans="1:21" s="558" customFormat="1" x14ac:dyDescent="0.25">
      <c r="B27" s="250" t="s">
        <v>208</v>
      </c>
      <c r="C27" s="562" t="s">
        <v>298</v>
      </c>
      <c r="D27" s="564"/>
      <c r="E27" s="557">
        <v>55</v>
      </c>
      <c r="F27" s="557">
        <v>6</v>
      </c>
      <c r="G27" s="560"/>
      <c r="H27" s="261"/>
      <c r="I27" s="249"/>
      <c r="J27" s="605"/>
      <c r="K27" s="250">
        <v>55</v>
      </c>
      <c r="L27" s="250">
        <v>5</v>
      </c>
      <c r="M27" s="349"/>
      <c r="N27" s="261"/>
      <c r="O27" s="557"/>
      <c r="P27" s="251">
        <f t="shared" si="12"/>
        <v>0</v>
      </c>
      <c r="Q27" s="268">
        <f t="shared" si="12"/>
        <v>55</v>
      </c>
      <c r="R27" s="268">
        <f t="shared" si="12"/>
        <v>5</v>
      </c>
      <c r="S27" s="269">
        <f t="shared" si="12"/>
        <v>0</v>
      </c>
      <c r="T27" s="584">
        <f t="shared" si="12"/>
        <v>0</v>
      </c>
      <c r="U27" s="585">
        <f t="shared" si="12"/>
        <v>0</v>
      </c>
    </row>
    <row r="28" spans="1:21" ht="15.75" thickBot="1" x14ac:dyDescent="0.3">
      <c r="B28" s="553" t="s">
        <v>158</v>
      </c>
      <c r="C28" s="563" t="s">
        <v>289</v>
      </c>
      <c r="D28" s="566"/>
      <c r="E28" s="412">
        <v>80</v>
      </c>
      <c r="F28" s="412">
        <v>31</v>
      </c>
      <c r="G28" s="413"/>
      <c r="H28" s="281">
        <v>82</v>
      </c>
      <c r="I28" s="414">
        <v>15</v>
      </c>
      <c r="J28" s="606"/>
      <c r="K28" s="248">
        <v>80</v>
      </c>
      <c r="L28" s="248">
        <v>31</v>
      </c>
      <c r="M28" s="351"/>
      <c r="N28" s="262">
        <v>82</v>
      </c>
      <c r="O28" s="554">
        <v>15</v>
      </c>
      <c r="P28" s="48">
        <f t="shared" ref="P28:U28" si="13">IF(J28&lt;=D28,J28,IF(D28&lt;=J28,D28))</f>
        <v>0</v>
      </c>
      <c r="Q28" s="270">
        <f t="shared" si="13"/>
        <v>80</v>
      </c>
      <c r="R28" s="270">
        <f t="shared" si="13"/>
        <v>31</v>
      </c>
      <c r="S28" s="271">
        <f t="shared" si="13"/>
        <v>0</v>
      </c>
      <c r="T28" s="555">
        <f t="shared" si="13"/>
        <v>82</v>
      </c>
      <c r="U28" s="556">
        <f t="shared" si="13"/>
        <v>15</v>
      </c>
    </row>
    <row r="29" spans="1:21" x14ac:dyDescent="0.25">
      <c r="B29" s="68"/>
      <c r="C29" s="54"/>
      <c r="D29" s="549"/>
      <c r="E29" s="283"/>
      <c r="F29" s="283"/>
      <c r="G29" s="550"/>
      <c r="H29" s="283"/>
      <c r="I29" s="283"/>
      <c r="J29" s="550"/>
      <c r="K29" s="68"/>
      <c r="L29" s="68"/>
      <c r="M29" s="551"/>
      <c r="N29" s="54"/>
      <c r="O29" s="54"/>
      <c r="P29" s="69"/>
      <c r="Q29" s="69"/>
      <c r="R29" s="69"/>
      <c r="S29" s="69"/>
      <c r="T29" s="552"/>
      <c r="U29" s="552"/>
    </row>
    <row r="30" spans="1:21" ht="15.75" thickBot="1" x14ac:dyDescent="0.3">
      <c r="B30" s="68"/>
      <c r="C30" s="54"/>
      <c r="D30" s="54"/>
      <c r="E30" s="54"/>
      <c r="F30" s="54"/>
      <c r="G30" s="54"/>
      <c r="H30" s="54"/>
      <c r="I30" s="54"/>
      <c r="J30" s="68"/>
      <c r="K30" s="68"/>
      <c r="L30" s="68"/>
      <c r="M30" s="68"/>
      <c r="N30" s="54"/>
      <c r="O30" s="54"/>
      <c r="P30" s="69"/>
      <c r="Q30" s="69"/>
      <c r="R30" s="69"/>
      <c r="S30" s="69"/>
      <c r="T30" s="73"/>
      <c r="U30" s="73"/>
    </row>
    <row r="31" spans="1:21" ht="15.75" thickBot="1" x14ac:dyDescent="0.3">
      <c r="B31" s="1126" t="s">
        <v>80</v>
      </c>
      <c r="C31" s="1127"/>
      <c r="D31" s="318">
        <f>SUM(D6:D28)</f>
        <v>33</v>
      </c>
      <c r="E31" s="318">
        <f>SUM(E6:E30)</f>
        <v>689</v>
      </c>
      <c r="F31" s="318">
        <f>SUM(F6:F28)</f>
        <v>613</v>
      </c>
      <c r="G31" s="318">
        <f>SUM(G6:G28)</f>
        <v>104</v>
      </c>
      <c r="H31" s="318">
        <f>SUM(H6:H28)</f>
        <v>175</v>
      </c>
      <c r="I31" s="318">
        <f>SUM(I6:I28)</f>
        <v>49</v>
      </c>
      <c r="J31" s="318">
        <f>SUM(J6:J28)</f>
        <v>33</v>
      </c>
      <c r="K31" s="318">
        <f>SUM(K28,K27,K26,K25,K23,K22,K21,K20,K19,K17,K16,K15,K13,K12,K11,K10,K9,K8,K7,K6)</f>
        <v>674</v>
      </c>
      <c r="L31" s="318">
        <f>SUM(L6:L28)</f>
        <v>611</v>
      </c>
      <c r="M31" s="318">
        <f>SUM(M6:M28)</f>
        <v>103</v>
      </c>
      <c r="N31" s="318">
        <f>SUM(N6:N28)</f>
        <v>174</v>
      </c>
      <c r="O31" s="318">
        <f>SUM(O6:O28)</f>
        <v>49</v>
      </c>
      <c r="P31" s="484">
        <f t="shared" ref="P31:U31" si="14">SUM(P6:P28)</f>
        <v>33</v>
      </c>
      <c r="Q31" s="484">
        <f t="shared" si="14"/>
        <v>674</v>
      </c>
      <c r="R31" s="484">
        <f t="shared" si="14"/>
        <v>611</v>
      </c>
      <c r="S31" s="484">
        <f t="shared" si="14"/>
        <v>103</v>
      </c>
      <c r="T31" s="484">
        <f t="shared" si="14"/>
        <v>174</v>
      </c>
      <c r="U31" s="484">
        <f t="shared" si="14"/>
        <v>49</v>
      </c>
    </row>
  </sheetData>
  <mergeCells count="13">
    <mergeCell ref="T3:U3"/>
    <mergeCell ref="D4:I4"/>
    <mergeCell ref="J4:O4"/>
    <mergeCell ref="P4:U4"/>
    <mergeCell ref="B31:C31"/>
    <mergeCell ref="B1:S1"/>
    <mergeCell ref="B3:B5"/>
    <mergeCell ref="C3:C5"/>
    <mergeCell ref="D3:G3"/>
    <mergeCell ref="H3:I3"/>
    <mergeCell ref="J3:M3"/>
    <mergeCell ref="N3:O3"/>
    <mergeCell ref="P3:S3"/>
  </mergeCells>
  <pageMargins left="0.7" right="0.7" top="0.75" bottom="0.75" header="0.3" footer="0.3"/>
  <pageSetup paperSize="5" scale="78" orientation="landscape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1"/>
  <sheetViews>
    <sheetView tabSelected="1" workbookViewId="0">
      <pane xSplit="3" ySplit="5" topLeftCell="T46" activePane="bottomRight" state="frozen"/>
      <selection pane="topRight" activeCell="D1" sqref="D1"/>
      <selection pane="bottomLeft" activeCell="A6" sqref="A6"/>
      <selection pane="bottomRight" activeCell="V49" sqref="V49"/>
    </sheetView>
  </sheetViews>
  <sheetFormatPr defaultRowHeight="15" x14ac:dyDescent="0.25"/>
  <cols>
    <col min="2" max="2" width="20.42578125" customWidth="1"/>
    <col min="3" max="3" width="24.28515625" customWidth="1"/>
    <col min="15" max="15" width="12.5703125" customWidth="1"/>
    <col min="16" max="16" width="19.5703125" customWidth="1"/>
    <col min="17" max="17" width="17.85546875" customWidth="1"/>
    <col min="18" max="18" width="17.140625" customWidth="1"/>
    <col min="19" max="19" width="18.85546875" customWidth="1"/>
    <col min="20" max="20" width="12.28515625" customWidth="1"/>
    <col min="21" max="21" width="18.42578125" customWidth="1"/>
  </cols>
  <sheetData>
    <row r="1" spans="2:21" ht="18.75" thickBot="1" x14ac:dyDescent="0.3">
      <c r="B1" s="316"/>
      <c r="C1" s="316"/>
      <c r="D1" s="316"/>
      <c r="E1" s="316"/>
      <c r="F1" s="1128" t="s">
        <v>312</v>
      </c>
      <c r="G1" s="1128"/>
      <c r="H1" s="1128"/>
      <c r="I1" s="1128"/>
      <c r="J1" s="1128"/>
      <c r="K1" s="1128"/>
      <c r="L1" s="1128"/>
      <c r="M1" s="1128"/>
      <c r="N1" s="1128"/>
      <c r="O1" s="1128"/>
      <c r="P1" s="1128"/>
      <c r="Q1" s="316"/>
      <c r="R1" s="316"/>
      <c r="S1" s="316"/>
      <c r="T1" s="316"/>
      <c r="U1" s="316"/>
    </row>
    <row r="2" spans="2:21" ht="16.5" thickTop="1" thickBot="1" x14ac:dyDescent="0.3">
      <c r="B2" s="58"/>
      <c r="C2" s="58"/>
      <c r="D2" s="59"/>
      <c r="E2" s="59"/>
      <c r="F2" s="59"/>
      <c r="G2" s="59"/>
      <c r="H2" s="330"/>
      <c r="I2" s="59"/>
      <c r="J2" s="59"/>
      <c r="K2" s="59"/>
      <c r="L2" s="59"/>
      <c r="M2" s="58"/>
      <c r="N2" s="58"/>
      <c r="O2" s="58"/>
      <c r="P2" s="58"/>
      <c r="Q2" s="58"/>
      <c r="R2" s="58"/>
      <c r="S2" s="58"/>
      <c r="T2" s="58"/>
      <c r="U2" s="58"/>
    </row>
    <row r="3" spans="2:21" ht="15.75" customHeight="1" thickBot="1" x14ac:dyDescent="0.3">
      <c r="B3" s="1129" t="s">
        <v>56</v>
      </c>
      <c r="C3" s="1132" t="s">
        <v>104</v>
      </c>
      <c r="D3" s="1135" t="s">
        <v>118</v>
      </c>
      <c r="E3" s="1136"/>
      <c r="F3" s="1136"/>
      <c r="G3" s="1137"/>
      <c r="H3" s="1141" t="s">
        <v>69</v>
      </c>
      <c r="I3" s="1143" t="s">
        <v>219</v>
      </c>
      <c r="J3" s="1144"/>
      <c r="K3" s="1144"/>
      <c r="L3" s="1144"/>
      <c r="M3" s="1144"/>
      <c r="N3" s="1145"/>
      <c r="O3" s="1129" t="s">
        <v>119</v>
      </c>
      <c r="P3" s="1146"/>
      <c r="Q3" s="1146"/>
      <c r="R3" s="1147"/>
      <c r="S3" s="1129" t="s">
        <v>120</v>
      </c>
      <c r="T3" s="1147"/>
      <c r="U3" s="1132" t="s">
        <v>121</v>
      </c>
    </row>
    <row r="4" spans="2:21" ht="15.75" thickBot="1" x14ac:dyDescent="0.3">
      <c r="B4" s="1130"/>
      <c r="C4" s="1133"/>
      <c r="D4" s="1138"/>
      <c r="E4" s="1139"/>
      <c r="F4" s="1139"/>
      <c r="G4" s="1140"/>
      <c r="H4" s="1142"/>
      <c r="I4" s="1153" t="s">
        <v>105</v>
      </c>
      <c r="J4" s="1154"/>
      <c r="K4" s="1154"/>
      <c r="L4" s="1155"/>
      <c r="M4" s="1154" t="s">
        <v>122</v>
      </c>
      <c r="N4" s="1155"/>
      <c r="O4" s="1131"/>
      <c r="P4" s="1148"/>
      <c r="Q4" s="1148"/>
      <c r="R4" s="1149"/>
      <c r="S4" s="1131"/>
      <c r="T4" s="1149"/>
      <c r="U4" s="1133"/>
    </row>
    <row r="5" spans="2:21" ht="15.75" thickBot="1" x14ac:dyDescent="0.3">
      <c r="B5" s="1131"/>
      <c r="C5" s="1134"/>
      <c r="D5" s="417" t="s">
        <v>112</v>
      </c>
      <c r="E5" s="418" t="s">
        <v>111</v>
      </c>
      <c r="F5" s="419" t="s">
        <v>110</v>
      </c>
      <c r="G5" s="420" t="s">
        <v>123</v>
      </c>
      <c r="H5" s="1142"/>
      <c r="I5" s="533" t="s">
        <v>112</v>
      </c>
      <c r="J5" s="62" t="s">
        <v>111</v>
      </c>
      <c r="K5" s="63" t="s">
        <v>110</v>
      </c>
      <c r="L5" s="64" t="s">
        <v>123</v>
      </c>
      <c r="M5" s="308" t="s">
        <v>111</v>
      </c>
      <c r="N5" s="66" t="s">
        <v>110</v>
      </c>
      <c r="O5" s="533" t="s">
        <v>112</v>
      </c>
      <c r="P5" s="62" t="s">
        <v>111</v>
      </c>
      <c r="Q5" s="63" t="s">
        <v>110</v>
      </c>
      <c r="R5" s="64" t="s">
        <v>123</v>
      </c>
      <c r="S5" s="65" t="s">
        <v>111</v>
      </c>
      <c r="T5" s="66" t="s">
        <v>110</v>
      </c>
      <c r="U5" s="1134"/>
    </row>
    <row r="6" spans="2:21" x14ac:dyDescent="0.25">
      <c r="B6" s="423" t="s">
        <v>124</v>
      </c>
      <c r="C6" s="427" t="s">
        <v>263</v>
      </c>
      <c r="D6" s="1018">
        <v>31.5</v>
      </c>
      <c r="E6" s="1019">
        <v>60</v>
      </c>
      <c r="F6" s="1019">
        <v>18</v>
      </c>
      <c r="G6" s="1020">
        <v>15</v>
      </c>
      <c r="H6" s="481">
        <f>D6+E6+F6+G6</f>
        <v>124.5</v>
      </c>
      <c r="I6" s="574">
        <f>'water Act'!P6</f>
        <v>0</v>
      </c>
      <c r="J6" s="573">
        <f>'water Act'!Q6</f>
        <v>60</v>
      </c>
      <c r="K6" s="573">
        <f>'water Act'!R6</f>
        <v>18</v>
      </c>
      <c r="L6" s="570">
        <f>'water Act'!S6</f>
        <v>0</v>
      </c>
      <c r="M6" s="569">
        <f>'water Act'!T6</f>
        <v>0</v>
      </c>
      <c r="N6" s="569">
        <f>'water Act'!U6</f>
        <v>0</v>
      </c>
      <c r="O6" s="284">
        <f>SUM(I6)*99</f>
        <v>0</v>
      </c>
      <c r="P6" s="285">
        <f>SUM(J6)*34</f>
        <v>2040</v>
      </c>
      <c r="Q6" s="285">
        <f>SUM(K6)*25.75</f>
        <v>463.5</v>
      </c>
      <c r="R6" s="286">
        <f>SUM(L6)*19</f>
        <v>0</v>
      </c>
      <c r="S6" s="287">
        <v>0</v>
      </c>
      <c r="T6" s="288">
        <v>0</v>
      </c>
      <c r="U6" s="289">
        <f>SUM(O6:T6)</f>
        <v>2503.5</v>
      </c>
    </row>
    <row r="7" spans="2:21" x14ac:dyDescent="0.25">
      <c r="B7" s="424" t="s">
        <v>85</v>
      </c>
      <c r="C7" s="428" t="s">
        <v>273</v>
      </c>
      <c r="D7" s="1021">
        <v>0</v>
      </c>
      <c r="E7" s="1022">
        <v>0</v>
      </c>
      <c r="F7" s="1022">
        <v>0</v>
      </c>
      <c r="G7" s="1023">
        <v>0</v>
      </c>
      <c r="H7" s="482">
        <f t="shared" ref="H7" si="0">SUM(D7:G7)</f>
        <v>0</v>
      </c>
      <c r="I7" s="575">
        <f>'water Act'!P7</f>
        <v>0</v>
      </c>
      <c r="J7" s="297">
        <f>'water Act'!Q7</f>
        <v>0</v>
      </c>
      <c r="K7" s="297">
        <f>'water Act'!R7</f>
        <v>0</v>
      </c>
      <c r="L7" s="571">
        <f>'water Act'!S7</f>
        <v>0</v>
      </c>
      <c r="M7" s="309">
        <f>'water Act'!T7</f>
        <v>0</v>
      </c>
      <c r="N7" s="309">
        <f>'water Act'!U7</f>
        <v>0</v>
      </c>
      <c r="O7" s="299">
        <f t="shared" ref="O7:O13" si="1">SUM(I7)*99</f>
        <v>0</v>
      </c>
      <c r="P7" s="300">
        <f t="shared" ref="P7:P12" si="2">SUM(J7)*34</f>
        <v>0</v>
      </c>
      <c r="Q7" s="300">
        <f t="shared" ref="Q7:Q13" si="3">SUM(K7)*25.75</f>
        <v>0</v>
      </c>
      <c r="R7" s="301">
        <f t="shared" ref="R7:R13" si="4">SUM(L7)*19</f>
        <v>0</v>
      </c>
      <c r="S7" s="302">
        <v>0</v>
      </c>
      <c r="T7" s="303">
        <v>0</v>
      </c>
      <c r="U7" s="304">
        <f t="shared" ref="U7:U13" si="5">SUM(O7:T7)</f>
        <v>0</v>
      </c>
    </row>
    <row r="8" spans="2:21" x14ac:dyDescent="0.25">
      <c r="B8" s="424" t="s">
        <v>114</v>
      </c>
      <c r="C8" s="428" t="s">
        <v>272</v>
      </c>
      <c r="D8" s="1021">
        <v>20</v>
      </c>
      <c r="E8" s="1022">
        <v>95</v>
      </c>
      <c r="F8" s="1022">
        <v>130</v>
      </c>
      <c r="G8" s="1023">
        <v>25</v>
      </c>
      <c r="H8" s="483">
        <f t="shared" ref="H8:H23" si="6">D8+E8+F8+G8</f>
        <v>270</v>
      </c>
      <c r="I8" s="575">
        <f>'water Act'!P8</f>
        <v>0</v>
      </c>
      <c r="J8" s="297">
        <f>'water Act'!Q8</f>
        <v>95</v>
      </c>
      <c r="K8" s="297">
        <f>'water Act'!R8</f>
        <v>130</v>
      </c>
      <c r="L8" s="571">
        <f>'water Act'!S8</f>
        <v>0</v>
      </c>
      <c r="M8" s="309">
        <f>'water Act'!T8</f>
        <v>0</v>
      </c>
      <c r="N8" s="309">
        <f>'water Act'!U8</f>
        <v>0</v>
      </c>
      <c r="O8" s="299">
        <f t="shared" si="1"/>
        <v>0</v>
      </c>
      <c r="P8" s="300">
        <f>SUM(J8)*34</f>
        <v>3230</v>
      </c>
      <c r="Q8" s="300">
        <f t="shared" si="3"/>
        <v>3347.5</v>
      </c>
      <c r="R8" s="301">
        <f t="shared" si="4"/>
        <v>0</v>
      </c>
      <c r="S8" s="302">
        <v>0</v>
      </c>
      <c r="T8" s="303">
        <v>0</v>
      </c>
      <c r="U8" s="304">
        <f t="shared" si="5"/>
        <v>6577.5</v>
      </c>
    </row>
    <row r="9" spans="2:21" x14ac:dyDescent="0.25">
      <c r="B9" s="425" t="s">
        <v>115</v>
      </c>
      <c r="C9" s="429" t="s">
        <v>269</v>
      </c>
      <c r="D9" s="1021">
        <v>0</v>
      </c>
      <c r="E9" s="1022">
        <v>0</v>
      </c>
      <c r="F9" s="1022">
        <v>0</v>
      </c>
      <c r="G9" s="1023">
        <v>0</v>
      </c>
      <c r="H9" s="483">
        <f t="shared" si="6"/>
        <v>0</v>
      </c>
      <c r="I9" s="575">
        <f>'water Act'!P9</f>
        <v>0</v>
      </c>
      <c r="J9" s="297">
        <f>'water Act'!Q9</f>
        <v>0</v>
      </c>
      <c r="K9" s="297">
        <f>'water Act'!R9</f>
        <v>0</v>
      </c>
      <c r="L9" s="571">
        <f>'water Act'!S9</f>
        <v>0</v>
      </c>
      <c r="M9" s="309">
        <f>'water Act'!T9</f>
        <v>0</v>
      </c>
      <c r="N9" s="309">
        <f>'water Act'!U9</f>
        <v>0</v>
      </c>
      <c r="O9" s="299">
        <f t="shared" si="1"/>
        <v>0</v>
      </c>
      <c r="P9" s="300">
        <f t="shared" si="2"/>
        <v>0</v>
      </c>
      <c r="Q9" s="300">
        <f t="shared" si="3"/>
        <v>0</v>
      </c>
      <c r="R9" s="301">
        <f t="shared" si="4"/>
        <v>0</v>
      </c>
      <c r="S9" s="302">
        <v>0</v>
      </c>
      <c r="T9" s="303">
        <v>0</v>
      </c>
      <c r="U9" s="304">
        <f t="shared" si="5"/>
        <v>0</v>
      </c>
    </row>
    <row r="10" spans="2:21" x14ac:dyDescent="0.25">
      <c r="B10" s="425" t="s">
        <v>282</v>
      </c>
      <c r="C10" s="429" t="s">
        <v>283</v>
      </c>
      <c r="D10" s="1021">
        <v>3</v>
      </c>
      <c r="E10" s="1022">
        <v>14</v>
      </c>
      <c r="F10" s="1022">
        <v>15</v>
      </c>
      <c r="G10" s="1023">
        <v>1</v>
      </c>
      <c r="H10" s="483">
        <f t="shared" si="6"/>
        <v>33</v>
      </c>
      <c r="I10" s="575">
        <f>'water Act'!P10</f>
        <v>0</v>
      </c>
      <c r="J10" s="297">
        <f>'water Act'!Q10</f>
        <v>14</v>
      </c>
      <c r="K10" s="297">
        <f>'water Act'!R10</f>
        <v>15</v>
      </c>
      <c r="L10" s="571">
        <f>'water Act'!S10</f>
        <v>0</v>
      </c>
      <c r="M10" s="309">
        <f>'water Act'!T10</f>
        <v>0</v>
      </c>
      <c r="N10" s="309">
        <f>'water Act'!U10</f>
        <v>0</v>
      </c>
      <c r="O10" s="299">
        <f t="shared" ref="O10" si="7">SUM(I10)*99</f>
        <v>0</v>
      </c>
      <c r="P10" s="300">
        <f>SUM(J10)*34</f>
        <v>476</v>
      </c>
      <c r="Q10" s="300">
        <f t="shared" si="3"/>
        <v>386.25</v>
      </c>
      <c r="R10" s="301">
        <f t="shared" si="4"/>
        <v>0</v>
      </c>
      <c r="S10" s="302">
        <v>0</v>
      </c>
      <c r="T10" s="303">
        <v>0</v>
      </c>
      <c r="U10" s="304">
        <f>SUM(O10:T10)</f>
        <v>862.25</v>
      </c>
    </row>
    <row r="11" spans="2:21" x14ac:dyDescent="0.25">
      <c r="B11" s="425" t="s">
        <v>86</v>
      </c>
      <c r="C11" s="491" t="s">
        <v>125</v>
      </c>
      <c r="D11" s="1021">
        <v>1.5</v>
      </c>
      <c r="E11" s="1022">
        <v>4.5</v>
      </c>
      <c r="F11" s="1022">
        <v>1</v>
      </c>
      <c r="G11" s="1023">
        <v>2</v>
      </c>
      <c r="H11" s="492">
        <f t="shared" si="6"/>
        <v>9</v>
      </c>
      <c r="I11" s="575">
        <f>'water Act'!P11</f>
        <v>0</v>
      </c>
      <c r="J11" s="297">
        <f>'water Act'!Q11</f>
        <v>4</v>
      </c>
      <c r="K11" s="297">
        <f>'water Act'!R11</f>
        <v>1</v>
      </c>
      <c r="L11" s="571">
        <f>'water Act'!S11</f>
        <v>0</v>
      </c>
      <c r="M11" s="309">
        <f>'water Act'!T11</f>
        <v>0</v>
      </c>
      <c r="N11" s="309">
        <f>'water Act'!U11</f>
        <v>0</v>
      </c>
      <c r="O11" s="300">
        <f>SUM(I11)*92.29</f>
        <v>0</v>
      </c>
      <c r="P11" s="300">
        <f>SUM(J11)*34</f>
        <v>136</v>
      </c>
      <c r="Q11" s="300">
        <f t="shared" si="3"/>
        <v>25.75</v>
      </c>
      <c r="R11" s="301">
        <f t="shared" si="4"/>
        <v>0</v>
      </c>
      <c r="S11" s="302">
        <v>0</v>
      </c>
      <c r="T11" s="303">
        <v>0</v>
      </c>
      <c r="U11" s="304">
        <f t="shared" si="5"/>
        <v>161.75</v>
      </c>
    </row>
    <row r="12" spans="2:21" x14ac:dyDescent="0.25">
      <c r="B12" s="425" t="s">
        <v>284</v>
      </c>
      <c r="C12" s="429" t="s">
        <v>285</v>
      </c>
      <c r="D12" s="1021">
        <v>6</v>
      </c>
      <c r="E12" s="1022">
        <v>4</v>
      </c>
      <c r="F12" s="1022">
        <v>4</v>
      </c>
      <c r="G12" s="1023">
        <v>1</v>
      </c>
      <c r="H12" s="483">
        <f t="shared" si="6"/>
        <v>15</v>
      </c>
      <c r="I12" s="575">
        <f>'water Act'!P12</f>
        <v>0</v>
      </c>
      <c r="J12" s="297">
        <f>'water Act'!Q12</f>
        <v>4</v>
      </c>
      <c r="K12" s="297">
        <f>'water Act'!R12</f>
        <v>4</v>
      </c>
      <c r="L12" s="571">
        <f>'water Act'!S12</f>
        <v>0</v>
      </c>
      <c r="M12" s="309">
        <f>'water Act'!T12</f>
        <v>0</v>
      </c>
      <c r="N12" s="309">
        <f>'water Act'!U12</f>
        <v>0</v>
      </c>
      <c r="O12" s="300">
        <f>SUM(I12)*92.29</f>
        <v>0</v>
      </c>
      <c r="P12" s="300">
        <f t="shared" si="2"/>
        <v>136</v>
      </c>
      <c r="Q12" s="300">
        <f t="shared" si="3"/>
        <v>103</v>
      </c>
      <c r="R12" s="301">
        <f t="shared" si="4"/>
        <v>0</v>
      </c>
      <c r="S12" s="302">
        <v>0</v>
      </c>
      <c r="T12" s="303">
        <v>0</v>
      </c>
      <c r="U12" s="304">
        <f t="shared" si="5"/>
        <v>239</v>
      </c>
    </row>
    <row r="13" spans="2:21" ht="15.75" thickBot="1" x14ac:dyDescent="0.3">
      <c r="B13" s="426" t="s">
        <v>83</v>
      </c>
      <c r="C13" s="430" t="s">
        <v>290</v>
      </c>
      <c r="D13" s="1024">
        <v>2</v>
      </c>
      <c r="E13" s="1025">
        <v>6</v>
      </c>
      <c r="F13" s="1025">
        <v>8</v>
      </c>
      <c r="G13" s="1026">
        <v>0</v>
      </c>
      <c r="H13" s="509">
        <f t="shared" si="6"/>
        <v>16</v>
      </c>
      <c r="I13" s="576">
        <f>'water Act'!P13</f>
        <v>0</v>
      </c>
      <c r="J13" s="305">
        <f>'water Act'!Q13</f>
        <v>5</v>
      </c>
      <c r="K13" s="305">
        <f>'water Act'!R13</f>
        <v>5</v>
      </c>
      <c r="L13" s="572">
        <f>'water Act'!S13</f>
        <v>0</v>
      </c>
      <c r="M13" s="310">
        <f>'water Act'!T13</f>
        <v>0</v>
      </c>
      <c r="N13" s="310">
        <f>'water Act'!U13</f>
        <v>0</v>
      </c>
      <c r="O13" s="290">
        <f t="shared" si="1"/>
        <v>0</v>
      </c>
      <c r="P13" s="291">
        <f>SUM(J13)*34</f>
        <v>170</v>
      </c>
      <c r="Q13" s="291">
        <f t="shared" si="3"/>
        <v>128.75</v>
      </c>
      <c r="R13" s="292">
        <f t="shared" si="4"/>
        <v>0</v>
      </c>
      <c r="S13" s="293">
        <v>0</v>
      </c>
      <c r="T13" s="294">
        <v>0</v>
      </c>
      <c r="U13" s="295">
        <f t="shared" si="5"/>
        <v>298.75</v>
      </c>
    </row>
    <row r="14" spans="2:21" ht="15.75" thickBot="1" x14ac:dyDescent="0.3">
      <c r="B14" s="67"/>
      <c r="C14" s="67"/>
      <c r="D14" s="55"/>
      <c r="E14" s="55"/>
      <c r="F14" s="55"/>
      <c r="G14" s="55"/>
      <c r="H14" s="327"/>
      <c r="I14" s="56"/>
      <c r="J14" s="56"/>
      <c r="K14" s="56"/>
      <c r="L14" s="56">
        <f>SUM('[1]water act'!R14)</f>
        <v>0</v>
      </c>
      <c r="M14" s="56">
        <f>SUM('[1]water act'!S14)</f>
        <v>0</v>
      </c>
      <c r="N14" s="56">
        <f>SUM('[1]water act'!T14)</f>
        <v>0</v>
      </c>
      <c r="O14" s="76"/>
      <c r="P14" s="76"/>
      <c r="Q14" s="76"/>
      <c r="R14" s="76"/>
      <c r="S14" s="76"/>
      <c r="T14" s="76"/>
      <c r="U14" s="77"/>
    </row>
    <row r="15" spans="2:21" x14ac:dyDescent="0.25">
      <c r="B15" s="431" t="s">
        <v>82</v>
      </c>
      <c r="C15" s="431" t="s">
        <v>271</v>
      </c>
      <c r="D15" s="1018">
        <v>22</v>
      </c>
      <c r="E15" s="1019">
        <v>59.083333333333329</v>
      </c>
      <c r="F15" s="1019">
        <v>184.16666666666669</v>
      </c>
      <c r="G15" s="1020">
        <v>51.25</v>
      </c>
      <c r="H15" s="331">
        <f>D15+E15+F15+G15</f>
        <v>316.5</v>
      </c>
      <c r="I15" s="574">
        <f>'water Act'!P15</f>
        <v>0</v>
      </c>
      <c r="J15" s="573">
        <f>'water Act'!Q15</f>
        <v>37</v>
      </c>
      <c r="K15" s="573">
        <f>'water Act'!R15</f>
        <v>184</v>
      </c>
      <c r="L15" s="577">
        <f>'water Act'!S15</f>
        <v>0</v>
      </c>
      <c r="M15" s="574">
        <f>'water Act'!T15</f>
        <v>0</v>
      </c>
      <c r="N15" s="580">
        <f>'water Act'!U15</f>
        <v>0</v>
      </c>
      <c r="O15" s="287">
        <f>SUM(I15)*92.29</f>
        <v>0</v>
      </c>
      <c r="P15" s="285">
        <f>SUM(J15)*32.1</f>
        <v>1187.7</v>
      </c>
      <c r="Q15" s="581">
        <f>SUM(K15)*24.3</f>
        <v>4471.2</v>
      </c>
      <c r="R15" s="288">
        <f>SUM(L15)*18</f>
        <v>0</v>
      </c>
      <c r="S15" s="287">
        <v>0</v>
      </c>
      <c r="T15" s="288">
        <v>0</v>
      </c>
      <c r="U15" s="596">
        <f>SUM(O15:T15)</f>
        <v>5658.9</v>
      </c>
    </row>
    <row r="16" spans="2:21" x14ac:dyDescent="0.25">
      <c r="B16" s="425" t="s">
        <v>181</v>
      </c>
      <c r="C16" s="425" t="s">
        <v>276</v>
      </c>
      <c r="D16" s="1021">
        <v>12</v>
      </c>
      <c r="E16" s="1022">
        <v>9</v>
      </c>
      <c r="F16" s="1022">
        <v>28.25</v>
      </c>
      <c r="G16" s="1023">
        <v>22.5</v>
      </c>
      <c r="H16" s="421">
        <f>SUM(D16:G16)</f>
        <v>71.75</v>
      </c>
      <c r="I16" s="575">
        <f>'water Act'!P16</f>
        <v>0</v>
      </c>
      <c r="J16" s="297">
        <f>'water Act'!Q16</f>
        <v>6</v>
      </c>
      <c r="K16" s="297">
        <f>'water Act'!R16</f>
        <v>25</v>
      </c>
      <c r="L16" s="578">
        <f>'water Act'!S16</f>
        <v>0</v>
      </c>
      <c r="M16" s="575">
        <f>'water Act'!T16</f>
        <v>0</v>
      </c>
      <c r="N16" s="298">
        <f>'water Act'!U16</f>
        <v>0</v>
      </c>
      <c r="O16" s="302">
        <f>SUM(I16)*92.29</f>
        <v>0</v>
      </c>
      <c r="P16" s="479">
        <f>SUM(J16)*32.1</f>
        <v>192.60000000000002</v>
      </c>
      <c r="Q16" s="300">
        <f>SUM(K16)*24.3</f>
        <v>607.5</v>
      </c>
      <c r="R16" s="303">
        <f>SUM(L16)*18</f>
        <v>0</v>
      </c>
      <c r="S16" s="302">
        <v>0</v>
      </c>
      <c r="T16" s="303">
        <v>0</v>
      </c>
      <c r="U16" s="607">
        <f>SUM(O16:T16)</f>
        <v>800.1</v>
      </c>
    </row>
    <row r="17" spans="1:27" ht="15.75" thickBot="1" x14ac:dyDescent="0.3">
      <c r="B17" s="426" t="s">
        <v>266</v>
      </c>
      <c r="C17" s="490" t="s">
        <v>267</v>
      </c>
      <c r="D17" s="1027">
        <v>22.5</v>
      </c>
      <c r="E17" s="1028">
        <v>15.75</v>
      </c>
      <c r="F17" s="1028">
        <v>5</v>
      </c>
      <c r="G17" s="1029">
        <v>26</v>
      </c>
      <c r="H17" s="422">
        <f t="shared" si="6"/>
        <v>69.25</v>
      </c>
      <c r="I17" s="576">
        <f>'water Act'!P17</f>
        <v>2</v>
      </c>
      <c r="J17" s="305">
        <f>'water Act'!Q17</f>
        <v>11</v>
      </c>
      <c r="K17" s="305">
        <f>'water Act'!R17</f>
        <v>5</v>
      </c>
      <c r="L17" s="579">
        <f>'water Act'!S17</f>
        <v>50</v>
      </c>
      <c r="M17" s="576">
        <f>'water Act'!T17</f>
        <v>0</v>
      </c>
      <c r="N17" s="306">
        <f>'water Act'!U17</f>
        <v>0</v>
      </c>
      <c r="O17" s="311">
        <f>SUM(I17)*92.29</f>
        <v>184.58</v>
      </c>
      <c r="P17" s="307">
        <f>SUM(J17)*32.1</f>
        <v>353.1</v>
      </c>
      <c r="Q17" s="291">
        <f>SUM(K17)*24.3</f>
        <v>121.5</v>
      </c>
      <c r="R17" s="312">
        <f>SUM(L17)*18</f>
        <v>900</v>
      </c>
      <c r="S17" s="311">
        <v>0</v>
      </c>
      <c r="T17" s="312"/>
      <c r="U17" s="313">
        <f>SUM(O17:T17)</f>
        <v>1559.18</v>
      </c>
    </row>
    <row r="18" spans="1:27" ht="15.75" thickBot="1" x14ac:dyDescent="0.3">
      <c r="A18" s="610"/>
      <c r="B18" s="67"/>
      <c r="C18" s="67"/>
      <c r="D18" s="57"/>
      <c r="E18" s="57"/>
      <c r="F18" s="57"/>
      <c r="G18" s="57"/>
      <c r="H18" s="327"/>
      <c r="I18" s="56"/>
      <c r="J18" s="56"/>
      <c r="K18" s="56"/>
      <c r="L18" s="56">
        <f>SUM('[1]water act'!R18)</f>
        <v>0</v>
      </c>
      <c r="M18" s="56">
        <f>SUM('[1]water act'!S18)</f>
        <v>0</v>
      </c>
      <c r="N18" s="56">
        <f>SUM('[1]water act'!T18)</f>
        <v>0</v>
      </c>
      <c r="O18" s="76"/>
      <c r="P18" s="76"/>
      <c r="Q18" s="78"/>
      <c r="R18" s="78"/>
      <c r="S18" s="76"/>
      <c r="T18" s="76"/>
      <c r="U18" s="77"/>
      <c r="V18" s="610"/>
      <c r="W18" s="610"/>
      <c r="X18" s="610"/>
      <c r="Y18" s="610"/>
      <c r="Z18" s="610"/>
    </row>
    <row r="19" spans="1:27" s="591" customFormat="1" x14ac:dyDescent="0.25">
      <c r="A19" s="609"/>
      <c r="B19" s="593" t="str">
        <f>'water Act'!B19</f>
        <v>Maho</v>
      </c>
      <c r="C19" s="615" t="str">
        <f>'water Act'!C19</f>
        <v>R.I.B.S.M.Rathnamalala</v>
      </c>
      <c r="D19" s="1018">
        <v>9</v>
      </c>
      <c r="E19" s="1019">
        <v>14</v>
      </c>
      <c r="F19" s="1019">
        <v>14</v>
      </c>
      <c r="G19" s="1020">
        <v>7</v>
      </c>
      <c r="H19" s="613">
        <f t="shared" ref="H19:H22" si="8">D19+E19+F19+G19</f>
        <v>44</v>
      </c>
      <c r="I19" s="568">
        <f>'water Act'!P19</f>
        <v>0</v>
      </c>
      <c r="J19" s="573">
        <f>'water Act'!Q19</f>
        <v>8</v>
      </c>
      <c r="K19" s="573">
        <f>'water Act'!R19</f>
        <v>8</v>
      </c>
      <c r="L19" s="580">
        <f>'water Act'!S19</f>
        <v>2</v>
      </c>
      <c r="M19" s="568">
        <f>'water Act'!T19</f>
        <v>0</v>
      </c>
      <c r="N19" s="580">
        <f>'water Act'!U19</f>
        <v>0</v>
      </c>
      <c r="O19" s="594">
        <f t="shared" ref="O19:O20" si="9">SUM(I19)*99.04</f>
        <v>0</v>
      </c>
      <c r="P19" s="581">
        <f t="shared" ref="P19:P20" si="10">SUM(J19)*31.35</f>
        <v>250.8</v>
      </c>
      <c r="Q19" s="581">
        <f t="shared" ref="Q19:Q20" si="11">SUM(K19)*23.68</f>
        <v>189.44</v>
      </c>
      <c r="R19" s="595">
        <f t="shared" ref="R19:R20" si="12">SUM(L19)*17.5</f>
        <v>35</v>
      </c>
      <c r="S19" s="594">
        <v>0</v>
      </c>
      <c r="T19" s="595">
        <v>0</v>
      </c>
      <c r="U19" s="596">
        <f>SUM(O19:T19)</f>
        <v>475.24</v>
      </c>
      <c r="V19" s="610"/>
      <c r="W19" s="610"/>
      <c r="X19" s="610"/>
      <c r="Y19" s="610"/>
      <c r="Z19" s="610"/>
      <c r="AA19" s="632"/>
    </row>
    <row r="20" spans="1:27" s="650" customFormat="1" x14ac:dyDescent="0.25">
      <c r="A20" s="635"/>
      <c r="B20" s="638" t="str">
        <f>'water Act'!B20</f>
        <v>Dambulla</v>
      </c>
      <c r="C20" s="639" t="str">
        <f>'water Act'!C20</f>
        <v>L.R.N.J.Bandara</v>
      </c>
      <c r="D20" s="1021">
        <v>0</v>
      </c>
      <c r="E20" s="1022">
        <v>0</v>
      </c>
      <c r="F20" s="1022">
        <v>0</v>
      </c>
      <c r="G20" s="1023">
        <v>0</v>
      </c>
      <c r="H20" s="640">
        <f t="shared" si="8"/>
        <v>0</v>
      </c>
      <c r="I20" s="641">
        <f>'water Act'!P20</f>
        <v>0</v>
      </c>
      <c r="J20" s="642">
        <f>'water Act'!Q20</f>
        <v>0</v>
      </c>
      <c r="K20" s="642">
        <f>'water Act'!R20</f>
        <v>0</v>
      </c>
      <c r="L20" s="643">
        <f>'water Act'!S20</f>
        <v>0</v>
      </c>
      <c r="M20" s="641">
        <f>'water Act'!T20</f>
        <v>0</v>
      </c>
      <c r="N20" s="643">
        <f>'water Act'!U20</f>
        <v>0</v>
      </c>
      <c r="O20" s="644">
        <f t="shared" si="9"/>
        <v>0</v>
      </c>
      <c r="P20" s="645">
        <f t="shared" si="10"/>
        <v>0</v>
      </c>
      <c r="Q20" s="645">
        <f t="shared" si="11"/>
        <v>0</v>
      </c>
      <c r="R20" s="646">
        <f t="shared" si="12"/>
        <v>0</v>
      </c>
      <c r="S20" s="644">
        <v>0</v>
      </c>
      <c r="T20" s="646">
        <v>0</v>
      </c>
      <c r="U20" s="647">
        <f>SUM(O20:T20)</f>
        <v>0</v>
      </c>
      <c r="V20" s="648"/>
      <c r="W20" s="648"/>
      <c r="X20" s="648"/>
      <c r="Y20" s="648"/>
      <c r="Z20" s="648"/>
      <c r="AA20" s="649"/>
    </row>
    <row r="21" spans="1:27" s="558" customFormat="1" x14ac:dyDescent="0.25">
      <c r="A21" s="625"/>
      <c r="B21" s="630" t="str">
        <f>'water Act'!B21</f>
        <v>Puttalam</v>
      </c>
      <c r="C21" s="631" t="str">
        <f>'water Act'!C21</f>
        <v>G.M.Susantha Rasan</v>
      </c>
      <c r="D21" s="1021">
        <v>9.5</v>
      </c>
      <c r="E21" s="1022">
        <v>15.5</v>
      </c>
      <c r="F21" s="1022">
        <v>9</v>
      </c>
      <c r="G21" s="1023">
        <v>0</v>
      </c>
      <c r="H21" s="614">
        <f t="shared" si="8"/>
        <v>34</v>
      </c>
      <c r="I21" s="296">
        <f>'water Act'!P21</f>
        <v>0</v>
      </c>
      <c r="J21" s="297">
        <f>'water Act'!Q21</f>
        <v>9</v>
      </c>
      <c r="K21" s="297">
        <f>'water Act'!R21</f>
        <v>8</v>
      </c>
      <c r="L21" s="298">
        <f>'water Act'!S21</f>
        <v>0</v>
      </c>
      <c r="M21" s="296">
        <f>'water Act'!T21</f>
        <v>0</v>
      </c>
      <c r="N21" s="298">
        <f>'water Act'!U21</f>
        <v>0</v>
      </c>
      <c r="O21" s="299">
        <f t="shared" ref="O21:O22" si="13">SUM(I21)*99.04</f>
        <v>0</v>
      </c>
      <c r="P21" s="300">
        <f t="shared" ref="P21:P22" si="14">SUM(J21)*31.35</f>
        <v>282.15000000000003</v>
      </c>
      <c r="Q21" s="300">
        <f t="shared" ref="Q21:Q22" si="15">SUM(K21)*23.68</f>
        <v>189.44</v>
      </c>
      <c r="R21" s="303">
        <f t="shared" ref="R21:R22" si="16">SUM(L21)*17.5</f>
        <v>0</v>
      </c>
      <c r="S21" s="299">
        <v>0</v>
      </c>
      <c r="T21" s="303">
        <v>0</v>
      </c>
      <c r="U21" s="597">
        <f t="shared" ref="U21:U22" si="17">SUM(O21:T21)</f>
        <v>471.59000000000003</v>
      </c>
      <c r="V21" s="610"/>
      <c r="W21" s="610"/>
      <c r="X21" s="610"/>
      <c r="Y21" s="610"/>
      <c r="Z21" s="610"/>
      <c r="AA21" s="633"/>
    </row>
    <row r="22" spans="1:27" s="558" customFormat="1" x14ac:dyDescent="0.25">
      <c r="A22" s="625"/>
      <c r="B22" s="630" t="str">
        <f>'water Act'!B22</f>
        <v>A'Pura</v>
      </c>
      <c r="C22" s="631" t="str">
        <f>'water Act'!C22</f>
        <v>J.J.Udayakantha Daders</v>
      </c>
      <c r="D22" s="1021">
        <v>122.5</v>
      </c>
      <c r="E22" s="1022">
        <v>101</v>
      </c>
      <c r="F22" s="1022">
        <v>62.5</v>
      </c>
      <c r="G22" s="1023">
        <v>23</v>
      </c>
      <c r="H22" s="614">
        <f t="shared" si="8"/>
        <v>309</v>
      </c>
      <c r="I22" s="296">
        <f>'water Act'!P22</f>
        <v>29</v>
      </c>
      <c r="J22" s="297">
        <f>'water Act'!Q22</f>
        <v>99</v>
      </c>
      <c r="K22" s="297">
        <f>'water Act'!R22</f>
        <v>63</v>
      </c>
      <c r="L22" s="298">
        <f>'water Act'!S22</f>
        <v>20</v>
      </c>
      <c r="M22" s="296">
        <f>'water Act'!T22</f>
        <v>0</v>
      </c>
      <c r="N22" s="298">
        <f>'water Act'!U22</f>
        <v>0</v>
      </c>
      <c r="O22" s="299">
        <f t="shared" si="13"/>
        <v>2872.1600000000003</v>
      </c>
      <c r="P22" s="300">
        <f t="shared" si="14"/>
        <v>3103.65</v>
      </c>
      <c r="Q22" s="300">
        <f t="shared" si="15"/>
        <v>1491.84</v>
      </c>
      <c r="R22" s="303">
        <f t="shared" si="16"/>
        <v>350</v>
      </c>
      <c r="S22" s="299">
        <v>0</v>
      </c>
      <c r="T22" s="303">
        <v>0</v>
      </c>
      <c r="U22" s="597">
        <f t="shared" si="17"/>
        <v>7817.6500000000005</v>
      </c>
      <c r="V22" s="610"/>
      <c r="W22" s="610"/>
      <c r="X22" s="610"/>
      <c r="Y22" s="610"/>
      <c r="Z22" s="610"/>
      <c r="AA22" s="633"/>
    </row>
    <row r="23" spans="1:27" ht="15.75" thickBot="1" x14ac:dyDescent="0.3">
      <c r="B23" s="426" t="s">
        <v>117</v>
      </c>
      <c r="C23" s="567" t="s">
        <v>217</v>
      </c>
      <c r="D23" s="1027">
        <v>15.25</v>
      </c>
      <c r="E23" s="1028">
        <v>29.583333333333336</v>
      </c>
      <c r="F23" s="1028">
        <v>27.416666666666664</v>
      </c>
      <c r="G23" s="1029">
        <v>33.5</v>
      </c>
      <c r="H23" s="422">
        <f t="shared" si="6"/>
        <v>105.75</v>
      </c>
      <c r="I23" s="626">
        <f>'water Act'!P23</f>
        <v>2</v>
      </c>
      <c r="J23" s="627">
        <f>'water Act'!Q23</f>
        <v>23</v>
      </c>
      <c r="K23" s="627">
        <f>'water Act'!R23</f>
        <v>19</v>
      </c>
      <c r="L23" s="628">
        <f>'water Act'!S23</f>
        <v>31</v>
      </c>
      <c r="M23" s="626">
        <f>'water Act'!T23</f>
        <v>0</v>
      </c>
      <c r="N23" s="628">
        <f>'water Act'!U23</f>
        <v>0</v>
      </c>
      <c r="O23" s="290">
        <f>SUM(I23)*99.04</f>
        <v>198.08</v>
      </c>
      <c r="P23" s="291">
        <f>SUM(J23)*31.35</f>
        <v>721.05000000000007</v>
      </c>
      <c r="Q23" s="291">
        <f>SUM(K23)*23.68</f>
        <v>449.92</v>
      </c>
      <c r="R23" s="294">
        <f>SUM(L23)*17.5</f>
        <v>542.5</v>
      </c>
      <c r="S23" s="290">
        <v>0</v>
      </c>
      <c r="T23" s="294">
        <v>0</v>
      </c>
      <c r="U23" s="629">
        <f>SUM(O23:T23)</f>
        <v>1911.5500000000002</v>
      </c>
      <c r="V23" s="610"/>
      <c r="W23" s="610"/>
      <c r="X23" s="610"/>
      <c r="Y23" s="610"/>
      <c r="Z23" s="610"/>
    </row>
    <row r="24" spans="1:27" ht="15.75" thickBot="1" x14ac:dyDescent="0.3">
      <c r="B24" s="322"/>
      <c r="C24" s="67"/>
      <c r="D24" s="55"/>
      <c r="E24" s="55"/>
      <c r="F24" s="55"/>
      <c r="G24" s="55"/>
      <c r="H24" s="61"/>
      <c r="I24" s="56"/>
      <c r="J24" s="56"/>
      <c r="K24" s="56"/>
      <c r="L24" s="56"/>
      <c r="M24" s="56"/>
      <c r="N24" s="56"/>
      <c r="O24" s="76"/>
      <c r="P24" s="76"/>
      <c r="Q24" s="76"/>
      <c r="R24" s="76"/>
      <c r="S24" s="76"/>
      <c r="T24" s="76"/>
      <c r="U24" s="607"/>
      <c r="V24" s="610"/>
      <c r="W24" s="610"/>
      <c r="X24" s="610"/>
      <c r="Y24" s="610"/>
      <c r="Z24" s="610"/>
    </row>
    <row r="25" spans="1:27" x14ac:dyDescent="0.25">
      <c r="B25" s="432" t="s">
        <v>157</v>
      </c>
      <c r="C25" s="432" t="s">
        <v>270</v>
      </c>
      <c r="D25" s="1018">
        <v>165.25</v>
      </c>
      <c r="E25" s="1019">
        <v>227</v>
      </c>
      <c r="F25" s="1019">
        <v>115.16666666666666</v>
      </c>
      <c r="G25" s="1020">
        <v>105</v>
      </c>
      <c r="H25" s="613">
        <f t="shared" ref="H25:H28" si="18">D25+E25+F25+G25</f>
        <v>612.41666666666663</v>
      </c>
      <c r="I25" s="574">
        <f>'water Act'!P25</f>
        <v>0</v>
      </c>
      <c r="J25" s="573">
        <f>'water Act'!Q25</f>
        <v>140</v>
      </c>
      <c r="K25" s="573">
        <f>'water Act'!R25</f>
        <v>80</v>
      </c>
      <c r="L25" s="577">
        <f>'water Act'!S25</f>
        <v>0</v>
      </c>
      <c r="M25" s="574">
        <f>'water Act'!T25</f>
        <v>87</v>
      </c>
      <c r="N25" s="580">
        <f>'water Act'!U25</f>
        <v>34</v>
      </c>
      <c r="O25" s="598">
        <f>SUM(I25)*99</f>
        <v>0</v>
      </c>
      <c r="P25" s="598">
        <f>SUM(J25)*34</f>
        <v>4760</v>
      </c>
      <c r="Q25" s="598">
        <f>SUM(K25)*26.1</f>
        <v>2088</v>
      </c>
      <c r="R25" s="598">
        <f>SUM(L25)*19</f>
        <v>0</v>
      </c>
      <c r="S25" s="598">
        <f>SUM(M25)*39.35</f>
        <v>3423.4500000000003</v>
      </c>
      <c r="T25" s="598">
        <f>SUM(N25)*32</f>
        <v>1088</v>
      </c>
      <c r="U25" s="596">
        <f>SUM(O25:T25)</f>
        <v>11359.45</v>
      </c>
      <c r="V25" s="610"/>
      <c r="W25" s="610"/>
      <c r="X25" s="610"/>
      <c r="Y25" s="610"/>
      <c r="Z25" s="610"/>
    </row>
    <row r="26" spans="1:27" s="558" customFormat="1" x14ac:dyDescent="0.25">
      <c r="B26" s="277" t="str">
        <f>'water Act'!B26</f>
        <v>chavakachcheri</v>
      </c>
      <c r="C26" s="535" t="str">
        <f>'water Act'!C26</f>
        <v>Alex Distributors</v>
      </c>
      <c r="D26" s="1021">
        <v>97</v>
      </c>
      <c r="E26" s="1022">
        <v>76</v>
      </c>
      <c r="F26" s="1022">
        <v>43</v>
      </c>
      <c r="G26" s="1023">
        <v>22</v>
      </c>
      <c r="H26" s="614">
        <f t="shared" si="18"/>
        <v>238</v>
      </c>
      <c r="I26" s="575">
        <f>'water Act'!P26</f>
        <v>0</v>
      </c>
      <c r="J26" s="297">
        <f>'water Act'!Q26</f>
        <v>24</v>
      </c>
      <c r="K26" s="297">
        <f>'water Act'!R26</f>
        <v>10</v>
      </c>
      <c r="L26" s="578">
        <f>'water Act'!S26</f>
        <v>0</v>
      </c>
      <c r="M26" s="575">
        <f>'water Act'!T26</f>
        <v>5</v>
      </c>
      <c r="N26" s="298">
        <f>'water Act'!U26</f>
        <v>0</v>
      </c>
      <c r="O26" s="599">
        <f t="shared" ref="O26:O27" si="19">SUM(I26)*99</f>
        <v>0</v>
      </c>
      <c r="P26" s="599">
        <f t="shared" ref="P26:P27" si="20">SUM(J26)*34</f>
        <v>816</v>
      </c>
      <c r="Q26" s="599">
        <f t="shared" ref="Q26:Q27" si="21">SUM(K26)*26.1</f>
        <v>261</v>
      </c>
      <c r="R26" s="599">
        <f t="shared" ref="R26:R27" si="22">SUM(L26)*19</f>
        <v>0</v>
      </c>
      <c r="S26" s="599">
        <f t="shared" ref="S26:S27" si="23">SUM(M26)*39.35</f>
        <v>196.75</v>
      </c>
      <c r="T26" s="599">
        <f t="shared" ref="T26:T27" si="24">SUM(N26)*32</f>
        <v>0</v>
      </c>
      <c r="U26" s="597">
        <f>SUM(O26:T26)</f>
        <v>1273.75</v>
      </c>
      <c r="V26" s="610"/>
      <c r="W26" s="610"/>
      <c r="X26" s="610"/>
      <c r="Y26" s="610"/>
      <c r="Z26" s="610"/>
      <c r="AA26" s="633"/>
    </row>
    <row r="27" spans="1:27" s="558" customFormat="1" x14ac:dyDescent="0.25">
      <c r="B27" s="277" t="str">
        <f>'water Act'!B27</f>
        <v>Vavuniya</v>
      </c>
      <c r="C27" s="535" t="str">
        <f>'water Act'!C27</f>
        <v>G.p.D.Group</v>
      </c>
      <c r="D27" s="1021">
        <v>13</v>
      </c>
      <c r="E27" s="1022">
        <v>56</v>
      </c>
      <c r="F27" s="1022">
        <v>5</v>
      </c>
      <c r="G27" s="1023">
        <v>0</v>
      </c>
      <c r="H27" s="421">
        <f t="shared" si="18"/>
        <v>74</v>
      </c>
      <c r="I27" s="575">
        <f>'water Act'!P27</f>
        <v>0</v>
      </c>
      <c r="J27" s="297">
        <f>'water Act'!Q27</f>
        <v>55</v>
      </c>
      <c r="K27" s="297">
        <f>'water Act'!R27</f>
        <v>5</v>
      </c>
      <c r="L27" s="578">
        <f>'water Act'!S27</f>
        <v>0</v>
      </c>
      <c r="M27" s="575">
        <f>'water Act'!T27</f>
        <v>0</v>
      </c>
      <c r="N27" s="298">
        <f>'water Act'!U27</f>
        <v>0</v>
      </c>
      <c r="O27" s="599">
        <f t="shared" si="19"/>
        <v>0</v>
      </c>
      <c r="P27" s="599">
        <f t="shared" si="20"/>
        <v>1870</v>
      </c>
      <c r="Q27" s="599">
        <f t="shared" si="21"/>
        <v>130.5</v>
      </c>
      <c r="R27" s="599">
        <f t="shared" si="22"/>
        <v>0</v>
      </c>
      <c r="S27" s="599">
        <f t="shared" si="23"/>
        <v>0</v>
      </c>
      <c r="T27" s="599">
        <f t="shared" si="24"/>
        <v>0</v>
      </c>
      <c r="U27" s="597">
        <f>SUM(O27:T27)</f>
        <v>2000.5</v>
      </c>
      <c r="V27" s="610"/>
      <c r="W27" s="610"/>
      <c r="X27" s="610"/>
      <c r="Y27" s="610"/>
      <c r="Z27" s="610"/>
      <c r="AA27" s="633"/>
    </row>
    <row r="28" spans="1:27" ht="15.75" thickBot="1" x14ac:dyDescent="0.3">
      <c r="B28" s="567" t="s">
        <v>158</v>
      </c>
      <c r="C28" s="567" t="s">
        <v>270</v>
      </c>
      <c r="D28" s="1027">
        <v>229.5</v>
      </c>
      <c r="E28" s="1028">
        <v>189.66666666666669</v>
      </c>
      <c r="F28" s="1028">
        <v>60.083333333333329</v>
      </c>
      <c r="G28" s="1029">
        <v>36</v>
      </c>
      <c r="H28" s="422">
        <f t="shared" si="18"/>
        <v>515.25</v>
      </c>
      <c r="I28" s="576">
        <f>'water Act'!P28</f>
        <v>0</v>
      </c>
      <c r="J28" s="305">
        <f>'water Act'!Q28</f>
        <v>80</v>
      </c>
      <c r="K28" s="305">
        <f>'water Act'!R28</f>
        <v>31</v>
      </c>
      <c r="L28" s="579">
        <f>'water Act'!S28</f>
        <v>0</v>
      </c>
      <c r="M28" s="576">
        <f>'water Act'!T28</f>
        <v>82</v>
      </c>
      <c r="N28" s="306">
        <f>'water Act'!U28</f>
        <v>15</v>
      </c>
      <c r="O28" s="600">
        <f t="shared" ref="O28" si="25">SUM(I28)*99</f>
        <v>0</v>
      </c>
      <c r="P28" s="600">
        <f>SUM(J28)*34</f>
        <v>2720</v>
      </c>
      <c r="Q28" s="600">
        <f>SUM(K28)*26.1</f>
        <v>809.1</v>
      </c>
      <c r="R28" s="600">
        <f>SUM(L28)*19</f>
        <v>0</v>
      </c>
      <c r="S28" s="600">
        <f t="shared" ref="S28" si="26">SUM(M28)*39.35</f>
        <v>3226.7000000000003</v>
      </c>
      <c r="T28" s="600">
        <f t="shared" ref="T28" si="27">SUM(N28)*32</f>
        <v>480</v>
      </c>
      <c r="U28" s="319">
        <f>SUM(O28:T28)</f>
        <v>7235.8</v>
      </c>
      <c r="W28" s="610"/>
      <c r="X28" s="610"/>
      <c r="Y28" s="610"/>
      <c r="Z28" s="610"/>
    </row>
    <row r="29" spans="1:27" ht="15.75" thickBot="1" x14ac:dyDescent="0.3">
      <c r="B29" s="322"/>
      <c r="C29" s="67"/>
      <c r="D29" s="55"/>
      <c r="E29" s="55"/>
      <c r="F29" s="55"/>
      <c r="G29" s="55"/>
      <c r="H29" s="61"/>
      <c r="I29" s="56"/>
      <c r="J29" s="56"/>
      <c r="K29" s="56"/>
      <c r="L29" s="56"/>
      <c r="M29" s="56"/>
      <c r="N29" s="56"/>
      <c r="O29" s="76"/>
      <c r="P29" s="76"/>
      <c r="Q29" s="76"/>
      <c r="R29" s="76"/>
      <c r="S29" s="76"/>
      <c r="T29" s="76"/>
      <c r="U29" s="77"/>
      <c r="W29" s="610"/>
      <c r="X29" s="610"/>
      <c r="Y29" s="610"/>
      <c r="Z29" s="610"/>
    </row>
    <row r="30" spans="1:27" ht="15.75" thickBot="1" x14ac:dyDescent="0.3">
      <c r="B30" s="1150" t="s">
        <v>80</v>
      </c>
      <c r="C30" s="1151"/>
      <c r="D30" s="314">
        <f>SUM(D6:D28)</f>
        <v>781.5</v>
      </c>
      <c r="E30" s="314">
        <f>SUM(E6:E28)</f>
        <v>976.08333333333326</v>
      </c>
      <c r="F30" s="314">
        <f>SUM(F6:F28)</f>
        <v>729.58333333333337</v>
      </c>
      <c r="G30" s="314">
        <f>SUM(G6:G28)</f>
        <v>370.25</v>
      </c>
      <c r="H30" s="314">
        <f t="shared" ref="H30:O30" si="28">SUM(H6:H28)</f>
        <v>2857.4166666666665</v>
      </c>
      <c r="I30" s="314">
        <f t="shared" si="28"/>
        <v>33</v>
      </c>
      <c r="J30" s="314">
        <f t="shared" si="28"/>
        <v>674</v>
      </c>
      <c r="K30" s="314">
        <f t="shared" si="28"/>
        <v>611</v>
      </c>
      <c r="L30" s="314">
        <f t="shared" si="28"/>
        <v>103</v>
      </c>
      <c r="M30" s="314">
        <f t="shared" si="28"/>
        <v>174</v>
      </c>
      <c r="N30" s="314">
        <f t="shared" si="28"/>
        <v>49</v>
      </c>
      <c r="O30" s="508">
        <f t="shared" si="28"/>
        <v>3254.82</v>
      </c>
      <c r="P30" s="315">
        <f t="shared" ref="P30:T30" si="29">SUM(P6:P28)</f>
        <v>22445.05</v>
      </c>
      <c r="Q30" s="315">
        <f t="shared" si="29"/>
        <v>15264.190000000002</v>
      </c>
      <c r="R30" s="315">
        <f t="shared" si="29"/>
        <v>1827.5</v>
      </c>
      <c r="S30" s="315">
        <f t="shared" si="29"/>
        <v>6846.9000000000005</v>
      </c>
      <c r="T30" s="315">
        <f t="shared" si="29"/>
        <v>1568</v>
      </c>
      <c r="U30" s="315">
        <f>SUM(U6:U28)</f>
        <v>51206.460000000006</v>
      </c>
    </row>
    <row r="31" spans="1:27" x14ac:dyDescent="0.25">
      <c r="B31" s="55"/>
      <c r="C31" s="61"/>
      <c r="D31" s="55"/>
      <c r="E31" s="55"/>
      <c r="F31" s="55"/>
      <c r="G31" s="55"/>
      <c r="H31" s="327"/>
      <c r="I31" s="55"/>
      <c r="J31" s="55"/>
      <c r="K31" s="55"/>
      <c r="L31" s="55"/>
      <c r="M31" s="55"/>
      <c r="N31" s="55"/>
      <c r="O31" s="55"/>
      <c r="P31" s="55"/>
      <c r="Q31" s="55"/>
      <c r="R31" s="57"/>
      <c r="S31" s="55"/>
      <c r="T31" s="55"/>
      <c r="U31" s="60"/>
    </row>
    <row r="32" spans="1:27" x14ac:dyDescent="0.25">
      <c r="B32" s="55"/>
      <c r="C32" s="61"/>
      <c r="D32" s="55"/>
      <c r="E32" s="55"/>
      <c r="F32" s="55"/>
      <c r="G32" s="55"/>
      <c r="H32" s="327"/>
      <c r="I32" s="55"/>
      <c r="J32" s="55"/>
      <c r="K32" s="55"/>
      <c r="L32" s="55"/>
      <c r="M32" s="55"/>
      <c r="N32" s="55"/>
      <c r="O32" s="55"/>
      <c r="P32" s="55"/>
      <c r="Q32" s="55"/>
      <c r="R32" s="57"/>
      <c r="S32" s="55"/>
      <c r="T32" s="55"/>
      <c r="U32" s="60"/>
    </row>
    <row r="33" spans="2:21" x14ac:dyDescent="0.25">
      <c r="B33" s="58"/>
      <c r="C33" s="58"/>
      <c r="D33" s="58"/>
      <c r="E33" s="58"/>
      <c r="F33" s="58"/>
      <c r="G33" s="58"/>
      <c r="H33" s="330"/>
      <c r="I33" s="58"/>
      <c r="J33" s="58"/>
      <c r="K33" s="58"/>
      <c r="L33" s="58"/>
      <c r="M33" s="58"/>
      <c r="N33" s="58"/>
      <c r="O33" s="455" t="s">
        <v>129</v>
      </c>
      <c r="P33" s="455" t="s">
        <v>127</v>
      </c>
      <c r="Q33" s="455" t="s">
        <v>126</v>
      </c>
      <c r="R33" s="455" t="s">
        <v>128</v>
      </c>
      <c r="S33" s="325"/>
      <c r="T33" s="325"/>
      <c r="U33" s="325" t="s">
        <v>130</v>
      </c>
    </row>
    <row r="34" spans="2:21" x14ac:dyDescent="0.25">
      <c r="B34" s="59"/>
      <c r="C34" s="59"/>
      <c r="D34" s="59"/>
      <c r="E34" s="59"/>
      <c r="F34" s="59"/>
      <c r="G34" s="59"/>
      <c r="H34" s="330"/>
      <c r="I34" s="59"/>
      <c r="J34" s="59"/>
      <c r="K34" s="59"/>
      <c r="L34" s="59"/>
      <c r="M34" s="59"/>
      <c r="N34" s="59"/>
      <c r="O34" s="455" t="s">
        <v>129</v>
      </c>
      <c r="P34" s="455" t="s">
        <v>127</v>
      </c>
      <c r="Q34" s="455" t="s">
        <v>131</v>
      </c>
      <c r="R34" s="455" t="s">
        <v>128</v>
      </c>
      <c r="S34" s="325" t="s">
        <v>133</v>
      </c>
      <c r="T34" s="455" t="s">
        <v>132</v>
      </c>
      <c r="U34" s="325" t="s">
        <v>134</v>
      </c>
    </row>
    <row r="35" spans="2:21" x14ac:dyDescent="0.25">
      <c r="B35" s="317"/>
      <c r="C35" s="317"/>
      <c r="D35" s="317" t="s">
        <v>135</v>
      </c>
      <c r="E35" s="317"/>
      <c r="F35" s="317"/>
      <c r="G35" s="59"/>
      <c r="H35" s="330"/>
      <c r="I35" s="59"/>
      <c r="J35" s="59"/>
      <c r="K35" s="59"/>
      <c r="L35" s="59"/>
      <c r="M35" s="59"/>
      <c r="N35" s="59"/>
      <c r="O35" s="455" t="s">
        <v>138</v>
      </c>
      <c r="P35" s="455" t="s">
        <v>275</v>
      </c>
      <c r="Q35" s="455" t="s">
        <v>136</v>
      </c>
      <c r="R35" s="455" t="s">
        <v>137</v>
      </c>
      <c r="S35" s="325"/>
      <c r="T35" s="325"/>
      <c r="U35" s="325" t="s">
        <v>139</v>
      </c>
    </row>
    <row r="36" spans="2:21" x14ac:dyDescent="0.25">
      <c r="B36" s="317"/>
      <c r="C36" s="317"/>
      <c r="D36" s="317" t="s">
        <v>140</v>
      </c>
      <c r="E36" s="317"/>
      <c r="F36" s="317"/>
      <c r="G36" s="59"/>
      <c r="H36" s="330"/>
      <c r="I36" s="59"/>
      <c r="J36" s="59"/>
      <c r="K36" s="59"/>
      <c r="L36" s="59"/>
      <c r="M36" s="59"/>
      <c r="N36" s="59"/>
      <c r="O36" s="455" t="s">
        <v>274</v>
      </c>
      <c r="P36" s="455" t="s">
        <v>142</v>
      </c>
      <c r="Q36" s="455" t="s">
        <v>141</v>
      </c>
      <c r="R36" s="455" t="s">
        <v>143</v>
      </c>
      <c r="S36" s="325"/>
      <c r="T36" s="325"/>
      <c r="U36" s="325" t="s">
        <v>144</v>
      </c>
    </row>
    <row r="37" spans="2:21" x14ac:dyDescent="0.25">
      <c r="B37" s="317"/>
      <c r="C37" s="317"/>
      <c r="D37" s="317" t="s">
        <v>145</v>
      </c>
      <c r="E37" s="317"/>
      <c r="F37" s="317"/>
      <c r="G37" s="59"/>
      <c r="H37" s="330"/>
      <c r="I37" s="59"/>
      <c r="J37" s="59"/>
      <c r="K37" s="59"/>
      <c r="L37" s="59"/>
      <c r="M37" s="59"/>
      <c r="N37" s="59"/>
      <c r="O37" s="326"/>
      <c r="P37" s="326"/>
      <c r="Q37" s="326"/>
      <c r="R37" s="326"/>
      <c r="S37" s="55"/>
      <c r="T37" s="55"/>
      <c r="U37" s="55"/>
    </row>
    <row r="38" spans="2:21" x14ac:dyDescent="0.25">
      <c r="B38" s="317"/>
      <c r="C38" s="317"/>
      <c r="D38" s="317" t="s">
        <v>146</v>
      </c>
      <c r="E38" s="317"/>
      <c r="F38" s="317"/>
      <c r="G38" s="59"/>
      <c r="H38" s="330"/>
      <c r="I38" s="59"/>
      <c r="J38" s="59"/>
      <c r="K38" s="59"/>
      <c r="L38" s="59"/>
      <c r="M38" s="59"/>
      <c r="N38" s="59"/>
      <c r="O38" s="61"/>
      <c r="P38" s="61"/>
      <c r="Q38" s="61"/>
      <c r="R38" s="61"/>
      <c r="S38" s="61"/>
      <c r="T38" s="61"/>
      <c r="U38" s="61"/>
    </row>
    <row r="39" spans="2:21" x14ac:dyDescent="0.25">
      <c r="B39" s="317"/>
      <c r="C39" s="317"/>
      <c r="D39" s="317" t="s">
        <v>147</v>
      </c>
      <c r="E39" s="317"/>
      <c r="F39" s="317"/>
      <c r="G39" s="59"/>
      <c r="H39" s="330"/>
      <c r="I39" s="59"/>
      <c r="J39" s="59"/>
      <c r="K39" s="59"/>
      <c r="L39" s="59"/>
      <c r="M39" s="59"/>
      <c r="N39" s="59"/>
      <c r="O39" s="61"/>
      <c r="P39" s="61"/>
      <c r="Q39" s="61"/>
      <c r="R39" s="61"/>
      <c r="S39" s="61"/>
      <c r="T39" s="61"/>
      <c r="U39" s="61"/>
    </row>
    <row r="40" spans="2:21" x14ac:dyDescent="0.25">
      <c r="B40" s="317"/>
      <c r="C40" s="317"/>
      <c r="D40" s="317"/>
      <c r="E40" s="317"/>
      <c r="F40" s="317"/>
      <c r="G40" s="59"/>
      <c r="H40" s="330"/>
      <c r="I40" s="59"/>
      <c r="J40" s="59"/>
      <c r="K40" s="59"/>
      <c r="L40" s="59"/>
      <c r="M40" s="59"/>
      <c r="N40" s="59"/>
      <c r="O40" s="61"/>
      <c r="P40" s="61"/>
      <c r="Q40" s="61"/>
      <c r="R40" s="61"/>
      <c r="S40" s="61"/>
      <c r="T40" s="61"/>
      <c r="U40" s="61"/>
    </row>
    <row r="41" spans="2:21" x14ac:dyDescent="0.25">
      <c r="B41" s="317"/>
      <c r="C41" s="317"/>
      <c r="D41" s="317"/>
      <c r="E41" s="317"/>
      <c r="F41" s="317"/>
      <c r="G41" s="59"/>
      <c r="H41" s="330"/>
      <c r="I41" s="59"/>
      <c r="J41" s="59"/>
      <c r="K41" s="59"/>
      <c r="L41" s="59"/>
      <c r="M41" s="59"/>
      <c r="N41" s="59"/>
      <c r="O41" s="61"/>
      <c r="P41" s="61"/>
      <c r="Q41" s="61"/>
      <c r="R41" s="61"/>
      <c r="S41" s="61"/>
      <c r="T41" s="61"/>
      <c r="U41" s="61"/>
    </row>
    <row r="42" spans="2:21" x14ac:dyDescent="0.25">
      <c r="B42" s="317"/>
      <c r="C42" s="317"/>
      <c r="D42" s="317"/>
      <c r="E42" s="317"/>
      <c r="F42" s="317"/>
      <c r="G42" s="59"/>
      <c r="H42" s="330"/>
      <c r="I42" s="59"/>
      <c r="J42" s="59"/>
      <c r="K42" s="59"/>
      <c r="L42" s="59"/>
      <c r="M42" s="59"/>
      <c r="N42" s="59"/>
      <c r="O42" s="61"/>
      <c r="P42" s="61"/>
      <c r="Q42" s="61"/>
      <c r="R42" s="61"/>
      <c r="S42" s="61"/>
      <c r="T42" s="61"/>
      <c r="U42" s="61"/>
    </row>
    <row r="43" spans="2:21" x14ac:dyDescent="0.25">
      <c r="B43" s="317"/>
      <c r="C43" s="317"/>
      <c r="D43" s="317"/>
      <c r="E43" s="317"/>
      <c r="F43" s="317"/>
      <c r="G43" s="59"/>
      <c r="H43" s="330"/>
      <c r="I43" s="59"/>
      <c r="J43" s="59"/>
      <c r="K43" s="59"/>
      <c r="L43" s="59"/>
      <c r="M43" s="59"/>
      <c r="N43" s="59"/>
      <c r="O43" s="61"/>
      <c r="P43" s="61"/>
      <c r="Q43" s="61"/>
      <c r="R43" s="61"/>
      <c r="S43" s="61"/>
      <c r="T43" s="61"/>
      <c r="U43" s="61"/>
    </row>
    <row r="44" spans="2:21" x14ac:dyDescent="0.25">
      <c r="B44" s="317"/>
      <c r="C44" s="317"/>
      <c r="D44" s="317"/>
      <c r="E44" s="317"/>
      <c r="F44" s="317"/>
      <c r="G44" s="59"/>
      <c r="H44" s="330"/>
      <c r="I44" s="59"/>
      <c r="J44" s="59"/>
      <c r="K44" s="59"/>
      <c r="L44" s="59"/>
      <c r="M44" s="59"/>
      <c r="N44" s="59"/>
      <c r="O44" s="61"/>
      <c r="P44" s="61"/>
      <c r="Q44" s="61"/>
      <c r="R44" s="61"/>
      <c r="S44" s="61"/>
      <c r="T44" s="61"/>
      <c r="U44" s="61"/>
    </row>
    <row r="45" spans="2:21" x14ac:dyDescent="0.25">
      <c r="B45" s="317"/>
      <c r="C45" s="317"/>
      <c r="D45" s="317"/>
      <c r="E45" s="317"/>
      <c r="F45" s="317"/>
      <c r="G45" s="59"/>
      <c r="H45" s="330"/>
      <c r="I45" s="59"/>
      <c r="J45" s="59"/>
      <c r="K45" s="59"/>
      <c r="L45" s="59"/>
      <c r="M45" s="59"/>
      <c r="N45" s="59"/>
      <c r="O45" s="61"/>
      <c r="P45" s="61"/>
      <c r="Q45" s="61"/>
      <c r="R45" s="61"/>
      <c r="S45" s="61"/>
      <c r="T45" s="61"/>
      <c r="U45" s="61"/>
    </row>
    <row r="46" spans="2:21" x14ac:dyDescent="0.25">
      <c r="B46" s="58"/>
      <c r="C46" s="58"/>
      <c r="D46" s="58"/>
      <c r="E46" s="58"/>
      <c r="F46" s="58"/>
      <c r="G46" s="58"/>
      <c r="H46" s="330"/>
      <c r="I46" s="58"/>
      <c r="J46" s="58"/>
      <c r="K46" s="58"/>
      <c r="L46" s="58"/>
      <c r="M46" s="58"/>
      <c r="N46" s="58"/>
      <c r="O46" s="55"/>
      <c r="P46" s="55"/>
      <c r="Q46" s="55"/>
      <c r="R46" s="55"/>
      <c r="S46" s="55"/>
      <c r="T46" s="55"/>
      <c r="U46" s="55"/>
    </row>
    <row r="47" spans="2:21" x14ac:dyDescent="0.25">
      <c r="B47" s="58"/>
      <c r="C47" s="58"/>
      <c r="D47" s="58"/>
      <c r="E47" s="58"/>
      <c r="F47" s="58"/>
      <c r="G47" s="58"/>
      <c r="H47" s="330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</row>
    <row r="48" spans="2:21" x14ac:dyDescent="0.25">
      <c r="B48" s="58"/>
      <c r="C48" s="58"/>
      <c r="D48" s="58"/>
      <c r="E48" s="58"/>
      <c r="F48" s="58"/>
      <c r="G48" s="58"/>
      <c r="H48" s="330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</row>
    <row r="49" spans="2:21" x14ac:dyDescent="0.25">
      <c r="B49" s="58"/>
      <c r="C49" s="58"/>
      <c r="D49" s="58"/>
      <c r="E49" s="58"/>
      <c r="F49" s="58"/>
      <c r="G49" s="58"/>
      <c r="H49" s="330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</row>
    <row r="50" spans="2:21" x14ac:dyDescent="0.25">
      <c r="B50" s="58"/>
      <c r="C50" s="58"/>
      <c r="D50" s="58"/>
      <c r="E50" s="58"/>
      <c r="F50" s="58"/>
      <c r="G50" s="58"/>
      <c r="H50" s="330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</row>
    <row r="51" spans="2:21" x14ac:dyDescent="0.25">
      <c r="B51" s="58"/>
      <c r="C51" s="58"/>
      <c r="D51" s="58"/>
      <c r="E51" s="58"/>
      <c r="F51" s="58"/>
      <c r="G51" s="58"/>
      <c r="H51" s="330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</row>
    <row r="52" spans="2:21" x14ac:dyDescent="0.25">
      <c r="B52" s="59"/>
      <c r="C52" s="59"/>
      <c r="D52" s="59"/>
      <c r="E52" s="59"/>
      <c r="F52" s="59"/>
      <c r="G52" s="59"/>
      <c r="H52" s="330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</row>
    <row r="53" spans="2:21" x14ac:dyDescent="0.25">
      <c r="B53" s="59"/>
      <c r="C53" s="59"/>
      <c r="D53" s="59"/>
      <c r="E53" s="59"/>
      <c r="F53" s="59"/>
      <c r="G53" s="59"/>
      <c r="H53" s="330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</row>
    <row r="54" spans="2:21" x14ac:dyDescent="0.25">
      <c r="B54" s="59"/>
      <c r="C54" s="59"/>
      <c r="D54" s="59"/>
      <c r="E54" s="59"/>
      <c r="F54" s="59"/>
      <c r="G54" s="59"/>
      <c r="H54" s="330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</row>
    <row r="55" spans="2:21" x14ac:dyDescent="0.25">
      <c r="B55" s="59"/>
      <c r="C55" s="59"/>
      <c r="D55" s="59"/>
      <c r="E55" s="59"/>
      <c r="F55" s="59"/>
      <c r="G55" s="59"/>
      <c r="H55" s="330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</row>
    <row r="56" spans="2:21" x14ac:dyDescent="0.25">
      <c r="B56" s="59"/>
      <c r="C56" s="1152" t="s">
        <v>154</v>
      </c>
      <c r="D56" s="59"/>
      <c r="E56" s="59"/>
      <c r="F56" s="59"/>
      <c r="G56" s="1152" t="s">
        <v>154</v>
      </c>
      <c r="H56" s="1152"/>
      <c r="I56" s="59"/>
      <c r="J56" s="59"/>
      <c r="K56" s="59"/>
      <c r="L56" s="59"/>
      <c r="M56" s="1152" t="s">
        <v>154</v>
      </c>
      <c r="N56" s="1152"/>
      <c r="O56" s="1152"/>
      <c r="P56" s="59"/>
      <c r="Q56" s="59"/>
      <c r="R56" s="59"/>
      <c r="S56" s="1152" t="s">
        <v>154</v>
      </c>
      <c r="T56" s="1152"/>
      <c r="U56" s="59"/>
    </row>
    <row r="57" spans="2:21" x14ac:dyDescent="0.25">
      <c r="B57" s="59"/>
      <c r="C57" s="1152"/>
      <c r="D57" s="59"/>
      <c r="E57" s="59"/>
      <c r="F57" s="59"/>
      <c r="G57" s="1152"/>
      <c r="H57" s="1152"/>
      <c r="I57" s="59"/>
      <c r="J57" s="59"/>
      <c r="K57" s="59"/>
      <c r="L57" s="59"/>
      <c r="M57" s="1152"/>
      <c r="N57" s="1152"/>
      <c r="O57" s="1152"/>
      <c r="P57" s="59"/>
      <c r="Q57" s="59"/>
      <c r="R57" s="59"/>
      <c r="S57" s="1152"/>
      <c r="T57" s="1152"/>
      <c r="U57" s="59"/>
    </row>
    <row r="58" spans="2:21" x14ac:dyDescent="0.25">
      <c r="B58" s="59"/>
      <c r="C58" s="532"/>
      <c r="D58" s="59"/>
      <c r="E58" s="59"/>
      <c r="F58" s="59"/>
      <c r="G58" s="59"/>
      <c r="H58" s="330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</row>
    <row r="59" spans="2:21" x14ac:dyDescent="0.25">
      <c r="B59" s="59"/>
      <c r="C59" s="532" t="s">
        <v>148</v>
      </c>
      <c r="D59" s="59"/>
      <c r="E59" s="59"/>
      <c r="F59" s="59"/>
      <c r="G59" s="1152" t="s">
        <v>149</v>
      </c>
      <c r="H59" s="1152"/>
      <c r="I59" s="59"/>
      <c r="J59" s="59"/>
      <c r="K59" s="59"/>
      <c r="L59" s="59"/>
      <c r="M59" s="1152" t="s">
        <v>228</v>
      </c>
      <c r="N59" s="1152"/>
      <c r="O59" s="1152"/>
      <c r="P59" s="59"/>
      <c r="Q59" s="59"/>
      <c r="R59" s="59"/>
      <c r="S59" s="1152" t="s">
        <v>171</v>
      </c>
      <c r="T59" s="1152"/>
      <c r="U59" s="59"/>
    </row>
    <row r="60" spans="2:21" x14ac:dyDescent="0.25">
      <c r="B60" s="59"/>
      <c r="C60" s="59"/>
      <c r="D60" s="59"/>
      <c r="E60" s="59"/>
      <c r="F60" s="59"/>
      <c r="G60" s="59"/>
      <c r="H60" s="330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</row>
    <row r="61" spans="2:21" x14ac:dyDescent="0.25">
      <c r="B61" s="59"/>
      <c r="C61" s="59"/>
      <c r="D61" s="59"/>
      <c r="E61" s="59"/>
      <c r="F61" s="59"/>
      <c r="G61" s="59"/>
      <c r="H61" s="330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</row>
  </sheetData>
  <mergeCells count="19">
    <mergeCell ref="G59:H59"/>
    <mergeCell ref="M59:O59"/>
    <mergeCell ref="S59:T59"/>
    <mergeCell ref="S3:T4"/>
    <mergeCell ref="U3:U5"/>
    <mergeCell ref="I4:L4"/>
    <mergeCell ref="M4:N4"/>
    <mergeCell ref="B30:C30"/>
    <mergeCell ref="C56:C57"/>
    <mergeCell ref="G56:H57"/>
    <mergeCell ref="M56:O57"/>
    <mergeCell ref="S56:T57"/>
    <mergeCell ref="F1:P1"/>
    <mergeCell ref="B3:B5"/>
    <mergeCell ref="C3:C5"/>
    <mergeCell ref="D3:G4"/>
    <mergeCell ref="H3:H5"/>
    <mergeCell ref="I3:N3"/>
    <mergeCell ref="O3:R4"/>
  </mergeCells>
  <pageMargins left="0.7" right="0.7" top="0.75" bottom="0.75" header="0.3" footer="0.3"/>
  <pageSetup paperSize="5" scale="55" orientation="landscape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RD</vt:lpstr>
      <vt:lpstr>Bv Act</vt:lpstr>
      <vt:lpstr>BV Fig</vt:lpstr>
      <vt:lpstr>Bv flv</vt:lpstr>
      <vt:lpstr>water Act</vt:lpstr>
      <vt:lpstr>water Fig</vt:lpstr>
      <vt:lpstr>'Bv Act'!Print_Area</vt:lpstr>
      <vt:lpstr>'BV Fig'!Print_Area</vt:lpstr>
      <vt:lpstr>'Bv flv'!Print_Area</vt:lpstr>
      <vt:lpstr>'water Act'!Print_Area</vt:lpstr>
      <vt:lpstr>'water Fig'!Print_Area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piyumi</dc:creator>
  <cp:lastModifiedBy>suneetha</cp:lastModifiedBy>
  <cp:lastPrinted>2016-01-27T04:51:42Z</cp:lastPrinted>
  <dcterms:created xsi:type="dcterms:W3CDTF">2015-05-18T09:48:09Z</dcterms:created>
  <dcterms:modified xsi:type="dcterms:W3CDTF">2016-03-04T10:09:41Z</dcterms:modified>
</cp:coreProperties>
</file>