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workspaces\yale\repos\marklogic\docs\"/>
    </mc:Choice>
  </mc:AlternateContent>
  <xr:revisionPtr revIDLastSave="0" documentId="13_ncr:1_{25925663-4DF8-4BA9-92CD-8437D62B94CC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Group-Level Caches" sheetId="5" r:id="rId1"/>
    <sheet name="Forest Memory" sheetId="6" r:id="rId2"/>
    <sheet name="Back-of-Napkin" sheetId="1" r:id="rId3"/>
    <sheet name="Scenarios" sheetId="2" r:id="rId4"/>
    <sheet name="Forest Reserv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" i="5" l="1"/>
  <c r="R18" i="6"/>
  <c r="R19" i="6" s="1"/>
  <c r="Q18" i="6"/>
  <c r="Q19" i="6" s="1"/>
  <c r="P9" i="6"/>
  <c r="P10" i="6" s="1"/>
  <c r="P11" i="6" s="1"/>
  <c r="P12" i="6" s="1"/>
  <c r="P13" i="6" s="1"/>
  <c r="P14" i="6" s="1"/>
  <c r="P15" i="6" s="1"/>
  <c r="P16" i="6" s="1"/>
  <c r="H2" i="4"/>
  <c r="M18" i="6"/>
  <c r="M19" i="6" s="1"/>
  <c r="L18" i="6"/>
  <c r="L19" i="6" s="1"/>
  <c r="K9" i="6"/>
  <c r="K10" i="6" s="1"/>
  <c r="K11" i="6" s="1"/>
  <c r="K12" i="6" s="1"/>
  <c r="K13" i="6" s="1"/>
  <c r="K14" i="6" s="1"/>
  <c r="K15" i="6" s="1"/>
  <c r="K16" i="6" s="1"/>
  <c r="H4" i="4"/>
  <c r="H6" i="4" s="1"/>
  <c r="H12" i="4" s="1"/>
  <c r="E2" i="4"/>
  <c r="E16" i="4" s="1"/>
  <c r="E4" i="4"/>
  <c r="E6" i="4" s="1"/>
  <c r="E12" i="4" s="1"/>
  <c r="B16" i="4"/>
  <c r="B4" i="4"/>
  <c r="B6" i="4" s="1"/>
  <c r="B12" i="4" s="1"/>
  <c r="B18" i="4" s="1"/>
  <c r="B19" i="4" s="1"/>
  <c r="G18" i="5"/>
  <c r="H18" i="6"/>
  <c r="H19" i="6" s="1"/>
  <c r="G18" i="6"/>
  <c r="G19" i="6" s="1"/>
  <c r="F9" i="6"/>
  <c r="F10" i="6" s="1"/>
  <c r="F11" i="6" s="1"/>
  <c r="F12" i="6" s="1"/>
  <c r="F13" i="6" s="1"/>
  <c r="F14" i="6" s="1"/>
  <c r="F15" i="6" s="1"/>
  <c r="F16" i="6" s="1"/>
  <c r="C18" i="6"/>
  <c r="C19" i="6" s="1"/>
  <c r="B18" i="6"/>
  <c r="B19" i="6" s="1"/>
  <c r="A9" i="6"/>
  <c r="A10" i="6" s="1"/>
  <c r="A11" i="6" s="1"/>
  <c r="A12" i="6" s="1"/>
  <c r="A13" i="6" s="1"/>
  <c r="A14" i="6" s="1"/>
  <c r="A15" i="6" s="1"/>
  <c r="A16" i="6" s="1"/>
  <c r="C10" i="5"/>
  <c r="C11" i="5"/>
  <c r="G11" i="5" s="1"/>
  <c r="C9" i="5"/>
  <c r="G9" i="5" s="1"/>
  <c r="B33" i="5"/>
  <c r="B34" i="5"/>
  <c r="B32" i="5"/>
  <c r="C13" i="5"/>
  <c r="C12" i="5"/>
  <c r="C27" i="5" s="1"/>
  <c r="E6" i="5"/>
  <c r="G6" i="5" s="1"/>
  <c r="R20" i="6" l="1"/>
  <c r="M20" i="6"/>
  <c r="M22" i="6" s="1"/>
  <c r="H18" i="4"/>
  <c r="H19" i="4" s="1"/>
  <c r="H13" i="4"/>
  <c r="H14" i="4" s="1"/>
  <c r="H16" i="4"/>
  <c r="E18" i="4"/>
  <c r="E19" i="4" s="1"/>
  <c r="E13" i="4"/>
  <c r="E14" i="4" s="1"/>
  <c r="E20" i="4"/>
  <c r="E17" i="4"/>
  <c r="B17" i="4"/>
  <c r="B20" i="4" s="1"/>
  <c r="B13" i="4"/>
  <c r="B14" i="4" s="1"/>
  <c r="H20" i="6"/>
  <c r="H22" i="6" s="1"/>
  <c r="C20" i="6"/>
  <c r="E14" i="5"/>
  <c r="G14" i="5" s="1"/>
  <c r="G10" i="5"/>
  <c r="G13" i="5"/>
  <c r="G12" i="5"/>
  <c r="C32" i="5"/>
  <c r="C36" i="5"/>
  <c r="C35" i="5"/>
  <c r="B35" i="5"/>
  <c r="C33" i="5"/>
  <c r="C34" i="5"/>
  <c r="B36" i="5"/>
  <c r="C23" i="2"/>
  <c r="B23" i="2"/>
  <c r="B8" i="2"/>
  <c r="C18" i="2" s="1"/>
  <c r="C13" i="2"/>
  <c r="C14" i="2" s="1"/>
  <c r="C21" i="2" s="1"/>
  <c r="C24" i="2" s="1"/>
  <c r="B13" i="2"/>
  <c r="B14" i="2" s="1"/>
  <c r="B15" i="2" s="1"/>
  <c r="B4" i="2"/>
  <c r="B5" i="2"/>
  <c r="C17" i="2"/>
  <c r="B17" i="2"/>
  <c r="R22" i="6" l="1"/>
  <c r="R21" i="6"/>
  <c r="R23" i="6" s="1"/>
  <c r="M21" i="6"/>
  <c r="M23" i="6" s="1"/>
  <c r="H17" i="4"/>
  <c r="H20" i="4" s="1"/>
  <c r="H21" i="6"/>
  <c r="H23" i="6" s="1"/>
  <c r="C22" i="6"/>
  <c r="C21" i="6"/>
  <c r="C23" i="6" s="1"/>
  <c r="E16" i="5"/>
  <c r="B18" i="2"/>
  <c r="C15" i="2"/>
  <c r="C27" i="2"/>
  <c r="C28" i="2" s="1"/>
  <c r="C29" i="2" s="1"/>
  <c r="B16" i="2"/>
  <c r="C16" i="2"/>
  <c r="B21" i="2"/>
  <c r="B24" i="2" s="1"/>
  <c r="B27" i="2" s="1"/>
  <c r="B28" i="2" s="1"/>
  <c r="B29" i="2" s="1"/>
  <c r="E20" i="5" l="1"/>
  <c r="G20" i="5" s="1"/>
  <c r="G16" i="5"/>
  <c r="F22" i="1"/>
  <c r="D21" i="1"/>
  <c r="G17" i="1"/>
  <c r="G16" i="1"/>
  <c r="D22" i="1" s="1"/>
  <c r="I16" i="1"/>
  <c r="D16" i="1"/>
  <c r="D11" i="1"/>
  <c r="D10" i="1"/>
  <c r="B17" i="1"/>
  <c r="D17" i="1" s="1"/>
  <c r="B25" i="1" l="1"/>
  <c r="D25" i="1" s="1"/>
  <c r="B31" i="1" s="1"/>
  <c r="B26" i="1"/>
  <c r="F17" i="1"/>
  <c r="F16" i="1"/>
  <c r="I17" i="1"/>
  <c r="B30" i="1" l="1"/>
</calcChain>
</file>

<file path=xl/sharedStrings.xml><?xml version="1.0" encoding="utf-8"?>
<sst xmlns="http://schemas.openxmlformats.org/spreadsheetml/2006/main" count="321" uniqueCount="138">
  <si>
    <t>DEV</t>
  </si>
  <si>
    <t>N/C</t>
  </si>
  <si>
    <t>TEST</t>
  </si>
  <si>
    <t>48 vCPUs</t>
  </si>
  <si>
    <t>PROD</t>
  </si>
  <si>
    <t>lux</t>
  </si>
  <si>
    <t>GB</t>
  </si>
  <si>
    <t>Primary</t>
  </si>
  <si>
    <t>Env:</t>
  </si>
  <si>
    <t>As of:</t>
  </si>
  <si>
    <t>Instance type:</t>
  </si>
  <si>
    <t>r5.4xlarge</t>
  </si>
  <si>
    <t>vCPUs per node:</t>
  </si>
  <si>
    <t>Memory per node (GB):</t>
  </si>
  <si>
    <t>Node count:</t>
  </si>
  <si>
    <t>Cluster Totals</t>
  </si>
  <si>
    <t>Primary Size</t>
  </si>
  <si>
    <t>Replicated Size</t>
  </si>
  <si>
    <t>Document Count</t>
  </si>
  <si>
    <t>lux-small</t>
  </si>
  <si>
    <t>If…</t>
  </si>
  <si>
    <t>Max forest size:</t>
  </si>
  <si>
    <t>Max document count:</t>
  </si>
  <si>
    <t>mln</t>
  </si>
  <si>
    <t>lux forest count:</t>
  </si>
  <si>
    <t>lux-small forest count:</t>
  </si>
  <si>
    <t>Ignoring from here on out as lux and lux-small are not being used at the same time.</t>
  </si>
  <si>
    <t>Replica</t>
  </si>
  <si>
    <t>vCPUs</t>
  </si>
  <si>
    <t>Memory</t>
  </si>
  <si>
    <t>per forest</t>
  </si>
  <si>
    <t>Less that taken by the other databases</t>
  </si>
  <si>
    <t>…then…</t>
  </si>
  <si>
    <t>Database size</t>
  </si>
  <si>
    <t>Primary forest count</t>
  </si>
  <si>
    <t>Forest size</t>
  </si>
  <si>
    <t>Document count</t>
  </si>
  <si>
    <t>Documents per forest</t>
  </si>
  <si>
    <t>Node count</t>
  </si>
  <si>
    <t>Cluster memory</t>
  </si>
  <si>
    <t>Cluster vCPUs</t>
  </si>
  <si>
    <t>Replica forest count</t>
  </si>
  <si>
    <t>vCPUs per forest</t>
  </si>
  <si>
    <t>Memory per forest</t>
  </si>
  <si>
    <t>as of 7 Dec 21</t>
  </si>
  <si>
    <t>Half of the MarkLogic-licensed vCPUs (=24 physical cores)</t>
  </si>
  <si>
    <t>The r5.4xlarge instance type provides 16 vCPUs and 128 GB memory.</t>
  </si>
  <si>
    <t>Description</t>
  </si>
  <si>
    <t>Comments</t>
  </si>
  <si>
    <t>Scenario 1</t>
  </si>
  <si>
    <t>Scenario 2</t>
  </si>
  <si>
    <t>Maximum merge size per forest</t>
  </si>
  <si>
    <t>Total forest reserve</t>
  </si>
  <si>
    <t>Primary and replica forests</t>
  </si>
  <si>
    <t>Forest reserve</t>
  </si>
  <si>
    <t>Journals</t>
  </si>
  <si>
    <t>Logs</t>
  </si>
  <si>
    <t>TB</t>
  </si>
  <si>
    <t>Total storage, GB</t>
  </si>
  <si>
    <t>Total storage, TB</t>
  </si>
  <si>
    <t>Storage per node, TB</t>
  </si>
  <si>
    <t>Forest Reserve</t>
  </si>
  <si>
    <t>Storage</t>
  </si>
  <si>
    <t>Subtotal: forests</t>
  </si>
  <si>
    <t>Average forest size:</t>
  </si>
  <si>
    <t>Number of forests:</t>
  </si>
  <si>
    <t>Number of data nodes:</t>
  </si>
  <si>
    <t>Number of volumes per data node:</t>
  </si>
  <si>
    <t>Reserve per forest:</t>
  </si>
  <si>
    <t>Scenario:</t>
  </si>
  <si>
    <t>Database size:</t>
  </si>
  <si>
    <t>Given…</t>
  </si>
  <si>
    <t>Total available</t>
  </si>
  <si>
    <t>MB</t>
  </si>
  <si>
    <t>Reserve</t>
  </si>
  <si>
    <t>Workspace, app server overhead, and Linux filesystem buffer</t>
  </si>
  <si>
    <t>Default</t>
  </si>
  <si>
    <t>Override</t>
  </si>
  <si>
    <t>List Cache Size</t>
  </si>
  <si>
    <t>Compressed Tree Cache Size</t>
  </si>
  <si>
    <t>Expanded Tree Cache Size</t>
  </si>
  <si>
    <t>Triple Cache Size</t>
  </si>
  <si>
    <t>Triple Value Cache Size</t>
  </si>
  <si>
    <t>Subtotal: caches</t>
  </si>
  <si>
    <t>Available for in-memory content</t>
  </si>
  <si>
    <t>Potentially available for larger caches</t>
  </si>
  <si>
    <t>Compressed Tree Cache Partition Count</t>
  </si>
  <si>
    <t>Expanded Tree Cache Partition Count</t>
  </si>
  <si>
    <t>List Cache Partition Count</t>
  </si>
  <si>
    <t>Triple Cache Partition Count</t>
  </si>
  <si>
    <t>Triple Value Cache Partition Count</t>
  </si>
  <si>
    <t>Compressed Tree Cache Partition Size</t>
  </si>
  <si>
    <t>Expanded Tree Cache Partition Size</t>
  </si>
  <si>
    <t>List Cache Partition Size</t>
  </si>
  <si>
    <t>Triple Cache Partition Size</t>
  </si>
  <si>
    <t>Triple Value Cache Partition Size</t>
  </si>
  <si>
    <t>Partition Count</t>
  </si>
  <si>
    <t>Partition Size</t>
  </si>
  <si>
    <t>Ticket #450 summary: doubled size of both triples-related caches and increased their number of partitions by ~50%, yielding a 1 GB partition size for both.</t>
  </si>
  <si>
    <t>Forest</t>
  </si>
  <si>
    <t>Max</t>
  </si>
  <si>
    <t>x9</t>
  </si>
  <si>
    <t>Node Totals</t>
  </si>
  <si>
    <t>Date:</t>
  </si>
  <si>
    <t>Environment:</t>
  </si>
  <si>
    <t>Indexing Configuration:</t>
  </si>
  <si>
    <t>Dataset:</t>
  </si>
  <si>
    <t>Backend v1.0.8</t>
  </si>
  <si>
    <t>Beta 1</t>
  </si>
  <si>
    <t>Unit</t>
  </si>
  <si>
    <t>SBX</t>
  </si>
  <si>
    <t>Forest stand memory, per node</t>
  </si>
  <si>
    <t>See "Forest Memory" tab.  Should update after the indexing configuration and/or dataset changes.</t>
  </si>
  <si>
    <t>Number of times replicated:</t>
  </si>
  <si>
    <t>Database primary forest reserve:</t>
  </si>
  <si>
    <t>Database replica forest reserve:</t>
  </si>
  <si>
    <t>Database total forest reserve:</t>
  </si>
  <si>
    <t>Replica forest data per volume:</t>
  </si>
  <si>
    <t>Primary forest data per volume:</t>
  </si>
  <si>
    <t>Primary forest reserve per volume:</t>
  </si>
  <si>
    <t>Replica forest reserve per volume:</t>
  </si>
  <si>
    <t>Maximum merge size:</t>
  </si>
  <si>
    <t>Configurable</t>
  </si>
  <si>
    <t>Size required by forests per volume:</t>
  </si>
  <si>
    <t>Beta 1 dataset and Backend v1.0.8 database indexing configuration</t>
  </si>
  <si>
    <t>2 * MIN(forest size, maximum merge size)</t>
  </si>
  <si>
    <t>Beta 2 WIP at commit https://git.yale.edu/LUX/pipeline/commit/8bf569847f9304211ecdabc8bdc6b5164eedb24f</t>
  </si>
  <si>
    <t>Backend v1.0.9 WIP at commit https://git.yale.edu/lux-its/marklogic/commit/3490043bf836f596d16d7aeccf90b6c7a3e0dc0f</t>
  </si>
  <si>
    <t>Per admin UI.  Primary forests only.  Excludes journals.</t>
  </si>
  <si>
    <t>23 Jan 23 DEV with Beta 2 (final) dataset and Backend v1.0.10 WIP (no index changes)</t>
  </si>
  <si>
    <t>3 Mar 23 SBX before enabling word positions (#635 experiment)</t>
  </si>
  <si>
    <t>Beta 2's indexing configuration.</t>
  </si>
  <si>
    <t>Launch WIP at https://git.yale.edu/LUX/pipeline/commit/ba816220711420d660c841e5861d4f6ba0206182</t>
  </si>
  <si>
    <t>Number of documents:</t>
  </si>
  <si>
    <t>Double Green</t>
  </si>
  <si>
    <t>Backend v1.0.16</t>
  </si>
  <si>
    <t>v5.01</t>
  </si>
  <si>
    <t>Ticket #920 summary: 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</si>
</sst>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00"/>
    <numFmt numFmtId="165" formatCode="_(* #,##0_);_(* \(#,##0\);_(* &quot;-&quot;??_);_(@_)"/>
    <numFmt numFmtId="166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left" indent="1"/>
    </xf>
    <xf numFmtId="10" fontId="0" fillId="0" borderId="0" xfId="1" applyNumberFormat="1" applyFont="1"/>
    <xf numFmtId="164" fontId="2" fillId="0" borderId="0" xfId="0" applyNumberFormat="1" applyFont="1"/>
    <xf numFmtId="3" fontId="2" fillId="0" borderId="0" xfId="0" applyNumberFormat="1" applyFont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4" fontId="0" fillId="0" borderId="0" xfId="0" applyNumberForma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 indent="1"/>
    </xf>
    <xf numFmtId="0" fontId="5" fillId="0" borderId="2" xfId="0" applyFont="1" applyBorder="1" applyAlignment="1">
      <alignment vertical="top"/>
    </xf>
    <xf numFmtId="165" fontId="5" fillId="0" borderId="2" xfId="2" applyNumberFormat="1" applyFont="1" applyBorder="1" applyAlignment="1">
      <alignment vertical="top"/>
    </xf>
    <xf numFmtId="0" fontId="5" fillId="0" borderId="2" xfId="0" applyFont="1" applyBorder="1" applyAlignment="1">
      <alignment vertical="top" wrapText="1"/>
    </xf>
    <xf numFmtId="10" fontId="5" fillId="0" borderId="2" xfId="1" applyNumberFormat="1" applyFont="1" applyBorder="1" applyAlignment="1">
      <alignment vertical="top"/>
    </xf>
    <xf numFmtId="0" fontId="5" fillId="0" borderId="2" xfId="0" applyFont="1" applyBorder="1" applyAlignment="1">
      <alignment horizontal="center" vertical="top"/>
    </xf>
    <xf numFmtId="0" fontId="6" fillId="0" borderId="2" xfId="0" applyFont="1" applyBorder="1" applyAlignment="1">
      <alignment vertical="top"/>
    </xf>
    <xf numFmtId="165" fontId="6" fillId="0" borderId="2" xfId="2" applyNumberFormat="1" applyFont="1" applyBorder="1" applyAlignment="1">
      <alignment vertical="top"/>
    </xf>
    <xf numFmtId="10" fontId="6" fillId="0" borderId="2" xfId="1" applyNumberFormat="1" applyFont="1" applyBorder="1" applyAlignment="1">
      <alignment vertical="top"/>
    </xf>
    <xf numFmtId="0" fontId="6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/>
    </xf>
    <xf numFmtId="165" fontId="7" fillId="0" borderId="2" xfId="2" applyNumberFormat="1" applyFont="1" applyBorder="1" applyAlignment="1">
      <alignment vertical="top"/>
    </xf>
    <xf numFmtId="10" fontId="7" fillId="0" borderId="2" xfId="1" applyNumberFormat="1" applyFont="1" applyBorder="1" applyAlignment="1">
      <alignment vertical="top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3" fontId="0" fillId="0" borderId="0" xfId="0" applyNumberFormat="1" applyAlignment="1">
      <alignment horizontal="center" vertical="top"/>
    </xf>
    <xf numFmtId="3" fontId="0" fillId="0" borderId="0" xfId="0" applyNumberFormat="1" applyAlignment="1">
      <alignment vertical="top"/>
    </xf>
    <xf numFmtId="3" fontId="0" fillId="0" borderId="0" xfId="0" applyNumberFormat="1"/>
    <xf numFmtId="3" fontId="0" fillId="0" borderId="3" xfId="0" applyNumberFormat="1" applyBorder="1"/>
    <xf numFmtId="166" fontId="0" fillId="0" borderId="0" xfId="0" applyNumberFormat="1"/>
    <xf numFmtId="0" fontId="4" fillId="3" borderId="0" xfId="0" applyFont="1" applyFill="1" applyAlignment="1">
      <alignment horizontal="center" vertical="top"/>
    </xf>
    <xf numFmtId="3" fontId="0" fillId="4" borderId="0" xfId="0" applyNumberFormat="1" applyFill="1"/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right" vertical="top" indent="1"/>
    </xf>
    <xf numFmtId="1" fontId="0" fillId="0" borderId="1" xfId="0" applyNumberFormat="1" applyBorder="1" applyAlignment="1">
      <alignment vertical="top"/>
    </xf>
    <xf numFmtId="1" fontId="0" fillId="0" borderId="0" xfId="0" applyNumberFormat="1" applyAlignment="1">
      <alignment horizontal="left" vertical="top"/>
    </xf>
    <xf numFmtId="3" fontId="0" fillId="0" borderId="0" xfId="0" applyNumberFormat="1" applyAlignment="1">
      <alignment horizontal="right" vertical="top"/>
    </xf>
    <xf numFmtId="0" fontId="8" fillId="0" borderId="3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3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14" fontId="0" fillId="0" borderId="0" xfId="0" applyNumberFormat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3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298172</xdr:colOff>
      <xdr:row>21</xdr:row>
      <xdr:rowOff>222860</xdr:rowOff>
    </xdr:from>
    <xdr:to>
      <xdr:col>15</xdr:col>
      <xdr:colOff>83022</xdr:colOff>
      <xdr:row>35</xdr:row>
      <xdr:rowOff>113514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04F34A-F6FF-465D-AB56-48DC1257D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4682" y="4979443"/>
          <a:ext cx="8299371" cy="25694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15</xdr:row>
      <xdr:rowOff>0</xdr:rowOff>
    </xdr:from>
    <xdr:to>
      <xdr:col>6</xdr:col>
      <xdr:colOff>9525</xdr:colOff>
      <xdr:row>15</xdr:row>
      <xdr:rowOff>9525</xdr:rowOff>
    </xdr:to>
    <xdr:sp macro="" textlink="">
      <xdr:nvSpPr>
        <xdr:cNvPr id="1025" name="AutoShape 1" descr="http://10.5.157.118:8001/images/varspace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417195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9525</xdr:colOff>
      <xdr:row>16</xdr:row>
      <xdr:rowOff>9525</xdr:rowOff>
    </xdr:to>
    <xdr:sp macro="" textlink="">
      <xdr:nvSpPr>
        <xdr:cNvPr id="1026" name="AutoShape 2" descr="http://10.5.157.118:8001/images/varspace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41719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99A3-6377-4031-9CA1-0E245380646D}">
  <dimension ref="A1:K41"/>
  <sheetViews>
    <sheetView tabSelected="1" zoomScale="115" zoomScaleNormal="115" workbookViewId="0">
      <pane ySplit="1" topLeftCell="A2" activePane="bottomLeft" state="frozen"/>
      <selection pane="bottomLeft" activeCell="A3" sqref="A3"/>
    </sheetView>
  </sheetViews>
  <sheetFormatPr defaultColWidth="9.15234375" defaultRowHeight="14.6" x14ac:dyDescent="0.4"/>
  <cols>
    <col min="1" max="1" width="29.69140625" style="10" customWidth="1"/>
    <col min="2" max="3" width="7.69140625" style="10" customWidth="1"/>
    <col min="4" max="4" width="4.53515625" style="10" customWidth="1"/>
    <col min="5" max="5" width="8" style="10" customWidth="1"/>
    <col min="6" max="6" width="4.15234375" style="10" customWidth="1"/>
    <col min="7" max="7" width="6.69140625" style="10" bestFit="1" customWidth="1"/>
    <col min="8" max="8" width="33" style="31" customWidth="1"/>
    <col min="9" max="11" width="9.15234375" style="10"/>
    <col min="12" max="12" width="32.3828125" style="10" bestFit="1" customWidth="1"/>
    <col min="13" max="13" width="9.15234375" style="10" customWidth="1"/>
    <col min="14" max="15" width="9.15234375" style="10"/>
    <col min="16" max="16" width="12.61328125" style="10" bestFit="1" customWidth="1"/>
    <col min="17" max="16384" width="9.15234375" style="10"/>
  </cols>
  <sheetData>
    <row r="1" spans="1:11" x14ac:dyDescent="0.4">
      <c r="A1" s="32" t="s">
        <v>98</v>
      </c>
      <c r="B1" s="32"/>
      <c r="C1" s="32"/>
      <c r="D1" s="32"/>
      <c r="E1" s="32"/>
      <c r="F1" s="32"/>
      <c r="G1" s="32"/>
      <c r="H1" s="33"/>
      <c r="I1" s="32"/>
      <c r="J1" s="32"/>
      <c r="K1" s="32"/>
    </row>
    <row r="2" spans="1:11" x14ac:dyDescent="0.4">
      <c r="A2" s="32" t="s">
        <v>137</v>
      </c>
      <c r="B2" s="32"/>
      <c r="C2" s="32"/>
      <c r="D2" s="32"/>
      <c r="E2" s="32"/>
      <c r="F2" s="32"/>
      <c r="G2" s="32"/>
      <c r="H2" s="33"/>
      <c r="I2" s="32"/>
      <c r="J2" s="32"/>
      <c r="K2" s="32"/>
    </row>
    <row r="4" spans="1:11" x14ac:dyDescent="0.4">
      <c r="A4" s="18" t="s">
        <v>72</v>
      </c>
      <c r="B4" s="19"/>
      <c r="C4" s="19"/>
      <c r="D4" s="19"/>
      <c r="E4" s="19">
        <v>262144</v>
      </c>
      <c r="F4" s="18" t="s">
        <v>73</v>
      </c>
      <c r="G4" s="18"/>
      <c r="H4" s="20"/>
    </row>
    <row r="5" spans="1:11" x14ac:dyDescent="0.4">
      <c r="A5" s="49"/>
      <c r="B5" s="49"/>
      <c r="C5" s="49"/>
      <c r="D5" s="49"/>
      <c r="E5" s="49"/>
      <c r="F5" s="49"/>
      <c r="G5" s="49"/>
      <c r="H5" s="49"/>
    </row>
    <row r="6" spans="1:11" ht="24" x14ac:dyDescent="0.4">
      <c r="A6" s="18" t="s">
        <v>74</v>
      </c>
      <c r="B6" s="19"/>
      <c r="C6" s="19"/>
      <c r="D6" s="19"/>
      <c r="E6" s="19">
        <f>E4*0.2</f>
        <v>52428.800000000003</v>
      </c>
      <c r="F6" s="18" t="s">
        <v>73</v>
      </c>
      <c r="G6" s="21">
        <f>E6/$E$4</f>
        <v>0.2</v>
      </c>
      <c r="H6" s="20" t="s">
        <v>75</v>
      </c>
    </row>
    <row r="7" spans="1:11" x14ac:dyDescent="0.4">
      <c r="A7" s="49"/>
      <c r="B7" s="49"/>
      <c r="C7" s="49"/>
      <c r="D7" s="49"/>
      <c r="E7" s="49"/>
      <c r="F7" s="49"/>
      <c r="G7" s="49"/>
      <c r="H7" s="49"/>
    </row>
    <row r="8" spans="1:11" x14ac:dyDescent="0.4">
      <c r="A8" s="22"/>
      <c r="B8" s="22" t="s">
        <v>76</v>
      </c>
      <c r="C8" s="22" t="s">
        <v>77</v>
      </c>
      <c r="D8" s="22"/>
      <c r="E8" s="22"/>
      <c r="F8" s="22"/>
      <c r="G8" s="22"/>
      <c r="H8" s="22"/>
    </row>
    <row r="9" spans="1:11" x14ac:dyDescent="0.4">
      <c r="A9" s="18" t="s">
        <v>78</v>
      </c>
      <c r="B9" s="19">
        <v>32768</v>
      </c>
      <c r="C9" s="19">
        <f>B9</f>
        <v>32768</v>
      </c>
      <c r="D9" s="19" t="s">
        <v>73</v>
      </c>
      <c r="E9" s="19"/>
      <c r="F9" s="18" t="s">
        <v>73</v>
      </c>
      <c r="G9" s="21">
        <f>C9/$E$4</f>
        <v>0.125</v>
      </c>
      <c r="H9" s="20"/>
    </row>
    <row r="10" spans="1:11" x14ac:dyDescent="0.4">
      <c r="A10" s="18" t="s">
        <v>79</v>
      </c>
      <c r="B10" s="19">
        <v>16384</v>
      </c>
      <c r="C10" s="19">
        <f t="shared" ref="C10:C11" si="0">B10</f>
        <v>16384</v>
      </c>
      <c r="D10" s="19" t="s">
        <v>73</v>
      </c>
      <c r="E10" s="19"/>
      <c r="F10" s="18" t="s">
        <v>73</v>
      </c>
      <c r="G10" s="21">
        <f>C10/$E$4</f>
        <v>6.25E-2</v>
      </c>
      <c r="H10" s="20"/>
    </row>
    <row r="11" spans="1:11" x14ac:dyDescent="0.4">
      <c r="A11" s="18" t="s">
        <v>80</v>
      </c>
      <c r="B11" s="19">
        <v>32768</v>
      </c>
      <c r="C11" s="19">
        <f t="shared" si="0"/>
        <v>32768</v>
      </c>
      <c r="D11" s="19" t="s">
        <v>73</v>
      </c>
      <c r="E11" s="19"/>
      <c r="F11" s="18" t="s">
        <v>73</v>
      </c>
      <c r="G11" s="21">
        <f>C11/$E$4</f>
        <v>0.125</v>
      </c>
      <c r="H11" s="20"/>
    </row>
    <row r="12" spans="1:11" x14ac:dyDescent="0.4">
      <c r="A12" s="18" t="s">
        <v>81</v>
      </c>
      <c r="B12" s="19">
        <v>16384</v>
      </c>
      <c r="C12" s="19">
        <f>B12*2</f>
        <v>32768</v>
      </c>
      <c r="D12" s="19" t="s">
        <v>73</v>
      </c>
      <c r="E12" s="19"/>
      <c r="F12" s="18" t="s">
        <v>73</v>
      </c>
      <c r="G12" s="21">
        <f>C12/$E$4</f>
        <v>0.125</v>
      </c>
      <c r="H12" s="20"/>
    </row>
    <row r="13" spans="1:11" x14ac:dyDescent="0.4">
      <c r="A13" s="18" t="s">
        <v>82</v>
      </c>
      <c r="B13" s="19">
        <v>32768</v>
      </c>
      <c r="C13" s="19">
        <f>B13*2</f>
        <v>65536</v>
      </c>
      <c r="D13" s="19" t="s">
        <v>73</v>
      </c>
      <c r="E13" s="19"/>
      <c r="F13" s="18" t="s">
        <v>73</v>
      </c>
      <c r="G13" s="21">
        <f>C13/$E$4</f>
        <v>0.25</v>
      </c>
      <c r="H13" s="20"/>
    </row>
    <row r="14" spans="1:11" s="13" customFormat="1" x14ac:dyDescent="0.4">
      <c r="A14" s="23" t="s">
        <v>83</v>
      </c>
      <c r="B14" s="24"/>
      <c r="C14" s="24"/>
      <c r="D14" s="24"/>
      <c r="E14" s="24">
        <f>SUM(C9:C13)</f>
        <v>180224</v>
      </c>
      <c r="F14" s="23"/>
      <c r="G14" s="25">
        <f>E14/$E$4</f>
        <v>0.6875</v>
      </c>
      <c r="H14" s="26"/>
    </row>
    <row r="15" spans="1:11" x14ac:dyDescent="0.4">
      <c r="A15" s="49"/>
      <c r="B15" s="49"/>
      <c r="C15" s="49"/>
      <c r="D15" s="49"/>
      <c r="E15" s="49"/>
      <c r="F15" s="49"/>
      <c r="G15" s="49"/>
      <c r="H15" s="49"/>
    </row>
    <row r="16" spans="1:11" x14ac:dyDescent="0.4">
      <c r="A16" s="18" t="s">
        <v>84</v>
      </c>
      <c r="B16" s="19"/>
      <c r="C16" s="19"/>
      <c r="D16" s="19"/>
      <c r="E16" s="19">
        <f>E4-E6-E14</f>
        <v>29491.200000000012</v>
      </c>
      <c r="F16" s="18"/>
      <c r="G16" s="21">
        <f>E16/$E$4</f>
        <v>0.11250000000000004</v>
      </c>
      <c r="H16" s="20"/>
    </row>
    <row r="17" spans="1:8" x14ac:dyDescent="0.4">
      <c r="A17" s="49"/>
      <c r="B17" s="49"/>
      <c r="C17" s="49"/>
      <c r="D17" s="49"/>
      <c r="E17" s="49"/>
      <c r="F17" s="49"/>
      <c r="G17" s="49"/>
      <c r="H17" s="49"/>
    </row>
    <row r="18" spans="1:8" ht="36" x14ac:dyDescent="0.4">
      <c r="A18" s="18" t="s">
        <v>111</v>
      </c>
      <c r="B18" s="19"/>
      <c r="C18" s="19"/>
      <c r="D18" s="19"/>
      <c r="E18" s="19">
        <v>17214</v>
      </c>
      <c r="F18" s="18"/>
      <c r="G18" s="21">
        <f>E18/$E$4</f>
        <v>6.566619873046875E-2</v>
      </c>
      <c r="H18" s="20" t="s">
        <v>112</v>
      </c>
    </row>
    <row r="19" spans="1:8" x14ac:dyDescent="0.4">
      <c r="A19" s="49"/>
      <c r="B19" s="49"/>
      <c r="C19" s="49"/>
      <c r="D19" s="49"/>
      <c r="E19" s="49"/>
      <c r="F19" s="49"/>
      <c r="G19" s="49"/>
      <c r="H19" s="49"/>
    </row>
    <row r="20" spans="1:8" s="16" customFormat="1" x14ac:dyDescent="0.4">
      <c r="A20" s="27" t="s">
        <v>85</v>
      </c>
      <c r="B20" s="28"/>
      <c r="C20" s="28"/>
      <c r="D20" s="28"/>
      <c r="E20" s="28">
        <f>E16-E18</f>
        <v>12277.200000000012</v>
      </c>
      <c r="F20" s="27"/>
      <c r="G20" s="29">
        <f>E20/$E$4</f>
        <v>4.6833801269531294E-2</v>
      </c>
      <c r="H20" s="30"/>
    </row>
    <row r="22" spans="1:8" ht="18.45" x14ac:dyDescent="0.4">
      <c r="A22" s="48" t="s">
        <v>96</v>
      </c>
      <c r="B22" s="48"/>
      <c r="C22" s="48"/>
    </row>
    <row r="23" spans="1:8" x14ac:dyDescent="0.4">
      <c r="A23" s="22"/>
      <c r="B23" s="22" t="s">
        <v>76</v>
      </c>
      <c r="C23" s="22" t="s">
        <v>77</v>
      </c>
    </row>
    <row r="24" spans="1:8" x14ac:dyDescent="0.4">
      <c r="A24" s="18" t="s">
        <v>86</v>
      </c>
      <c r="B24" s="19">
        <v>11</v>
      </c>
      <c r="C24" s="19">
        <v>11</v>
      </c>
    </row>
    <row r="25" spans="1:8" x14ac:dyDescent="0.4">
      <c r="A25" s="18" t="s">
        <v>87</v>
      </c>
      <c r="B25" s="19">
        <v>11</v>
      </c>
      <c r="C25" s="19">
        <v>11</v>
      </c>
    </row>
    <row r="26" spans="1:8" x14ac:dyDescent="0.4">
      <c r="A26" s="18" t="s">
        <v>88</v>
      </c>
      <c r="B26" s="19">
        <v>6</v>
      </c>
      <c r="C26" s="19">
        <v>6</v>
      </c>
    </row>
    <row r="27" spans="1:8" x14ac:dyDescent="0.4">
      <c r="A27" s="18" t="s">
        <v>89</v>
      </c>
      <c r="B27" s="19">
        <v>11</v>
      </c>
      <c r="C27" s="19">
        <f>ROUND(C12/1536,0)</f>
        <v>21</v>
      </c>
    </row>
    <row r="28" spans="1:8" x14ac:dyDescent="0.4">
      <c r="A28" s="18" t="s">
        <v>90</v>
      </c>
      <c r="B28" s="19">
        <v>22</v>
      </c>
      <c r="C28" s="19">
        <v>42</v>
      </c>
    </row>
    <row r="30" spans="1:8" ht="18.45" x14ac:dyDescent="0.4">
      <c r="A30" s="48" t="s">
        <v>97</v>
      </c>
      <c r="B30" s="48"/>
      <c r="C30" s="48"/>
    </row>
    <row r="31" spans="1:8" x14ac:dyDescent="0.4">
      <c r="A31" s="22"/>
      <c r="B31" s="22" t="s">
        <v>76</v>
      </c>
      <c r="C31" s="22" t="s">
        <v>77</v>
      </c>
      <c r="D31" s="19"/>
    </row>
    <row r="32" spans="1:8" x14ac:dyDescent="0.4">
      <c r="A32" s="18" t="s">
        <v>91</v>
      </c>
      <c r="B32" s="19">
        <f>B10/B24</f>
        <v>1489.4545454545455</v>
      </c>
      <c r="C32" s="19">
        <f>C10/C24</f>
        <v>1489.4545454545455</v>
      </c>
      <c r="D32" s="19" t="s">
        <v>73</v>
      </c>
    </row>
    <row r="33" spans="1:4" x14ac:dyDescent="0.4">
      <c r="A33" s="18" t="s">
        <v>92</v>
      </c>
      <c r="B33" s="19">
        <f>B11/B25</f>
        <v>2978.909090909091</v>
      </c>
      <c r="C33" s="19">
        <f>C11/C25</f>
        <v>2978.909090909091</v>
      </c>
      <c r="D33" s="19" t="s">
        <v>73</v>
      </c>
    </row>
    <row r="34" spans="1:4" x14ac:dyDescent="0.4">
      <c r="A34" s="18" t="s">
        <v>93</v>
      </c>
      <c r="B34" s="19">
        <f>B9/B26</f>
        <v>5461.333333333333</v>
      </c>
      <c r="C34" s="19">
        <f>C9/C26</f>
        <v>5461.333333333333</v>
      </c>
      <c r="D34" s="19" t="s">
        <v>73</v>
      </c>
    </row>
    <row r="35" spans="1:4" x14ac:dyDescent="0.4">
      <c r="A35" s="18" t="s">
        <v>94</v>
      </c>
      <c r="B35" s="19">
        <f>B12/B27</f>
        <v>1489.4545454545455</v>
      </c>
      <c r="C35" s="19">
        <f>C12/C27</f>
        <v>1560.3809523809523</v>
      </c>
      <c r="D35" s="19" t="s">
        <v>73</v>
      </c>
    </row>
    <row r="36" spans="1:4" x14ac:dyDescent="0.4">
      <c r="A36" s="18" t="s">
        <v>95</v>
      </c>
      <c r="B36" s="19">
        <f>B13/B28</f>
        <v>1489.4545454545455</v>
      </c>
      <c r="C36" s="19">
        <f>C13/C28</f>
        <v>1560.3809523809523</v>
      </c>
      <c r="D36" s="19" t="s">
        <v>73</v>
      </c>
    </row>
    <row r="41" spans="1:4" x14ac:dyDescent="0.4">
      <c r="C41" s="10">
        <f>24*3</f>
        <v>72</v>
      </c>
    </row>
  </sheetData>
  <mergeCells count="7">
    <mergeCell ref="A30:C30"/>
    <mergeCell ref="A5:H5"/>
    <mergeCell ref="A7:H7"/>
    <mergeCell ref="A15:H15"/>
    <mergeCell ref="A17:H17"/>
    <mergeCell ref="A19:H19"/>
    <mergeCell ref="A22:C22"/>
  </mergeCells>
  <conditionalFormatting sqref="C9:C13">
    <cfRule type="expression" dxfId="2" priority="5">
      <formula>C9&lt;&gt;B9</formula>
    </cfRule>
  </conditionalFormatting>
  <conditionalFormatting sqref="C27:C28">
    <cfRule type="expression" dxfId="1" priority="3">
      <formula>C27&lt;&gt;B27</formula>
    </cfRule>
  </conditionalFormatting>
  <conditionalFormatting sqref="C32:C36">
    <cfRule type="expression" dxfId="0" priority="1">
      <formula>C32&lt;&gt;B32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E1153-157E-4DA6-9E2A-43092C28035F}">
  <dimension ref="A2:S23"/>
  <sheetViews>
    <sheetView workbookViewId="0">
      <selection activeCell="R22" sqref="R22"/>
    </sheetView>
  </sheetViews>
  <sheetFormatPr defaultRowHeight="14.6" x14ac:dyDescent="0.4"/>
  <cols>
    <col min="1" max="3" width="10.69140625" customWidth="1"/>
    <col min="4" max="4" width="10.69140625" style="2" customWidth="1"/>
    <col min="6" max="9" width="10.69140625" customWidth="1"/>
    <col min="11" max="14" width="10.69140625" customWidth="1"/>
    <col min="16" max="17" width="10.69140625" customWidth="1"/>
    <col min="18" max="18" width="13.07421875" customWidth="1"/>
    <col min="19" max="19" width="10.69140625" customWidth="1"/>
  </cols>
  <sheetData>
    <row r="2" spans="1:19" x14ac:dyDescent="0.4">
      <c r="A2" s="51" t="s">
        <v>103</v>
      </c>
      <c r="B2" s="51"/>
      <c r="C2" s="3">
        <v>44936</v>
      </c>
      <c r="F2" s="51" t="s">
        <v>103</v>
      </c>
      <c r="G2" s="51"/>
      <c r="H2" s="3">
        <v>44957</v>
      </c>
      <c r="I2" s="2"/>
      <c r="K2" s="51" t="s">
        <v>103</v>
      </c>
      <c r="L2" s="51"/>
      <c r="M2" s="3">
        <v>44988</v>
      </c>
      <c r="N2" s="2"/>
      <c r="P2" s="51" t="s">
        <v>103</v>
      </c>
      <c r="Q2" s="51"/>
      <c r="R2" s="3">
        <v>45063</v>
      </c>
      <c r="S2" s="2"/>
    </row>
    <row r="3" spans="1:19" x14ac:dyDescent="0.4">
      <c r="A3" s="51" t="s">
        <v>104</v>
      </c>
      <c r="B3" s="51"/>
      <c r="C3" s="2" t="s">
        <v>0</v>
      </c>
      <c r="F3" s="51" t="s">
        <v>104</v>
      </c>
      <c r="G3" s="51"/>
      <c r="H3" s="2" t="s">
        <v>110</v>
      </c>
      <c r="I3" s="2"/>
      <c r="K3" s="51" t="s">
        <v>104</v>
      </c>
      <c r="L3" s="51"/>
      <c r="M3" s="2" t="s">
        <v>110</v>
      </c>
      <c r="N3" s="2"/>
      <c r="P3" s="51" t="s">
        <v>104</v>
      </c>
      <c r="Q3" s="51"/>
      <c r="R3" s="2" t="s">
        <v>134</v>
      </c>
      <c r="S3" s="2"/>
    </row>
    <row r="4" spans="1:19" x14ac:dyDescent="0.4">
      <c r="A4" s="51" t="s">
        <v>105</v>
      </c>
      <c r="B4" s="51"/>
      <c r="C4" s="2" t="s">
        <v>107</v>
      </c>
      <c r="F4" s="51" t="s">
        <v>105</v>
      </c>
      <c r="G4" s="51"/>
      <c r="H4" s="2" t="s">
        <v>127</v>
      </c>
      <c r="I4" s="2"/>
      <c r="K4" s="51" t="s">
        <v>105</v>
      </c>
      <c r="L4" s="51"/>
      <c r="M4" s="2" t="s">
        <v>131</v>
      </c>
      <c r="N4" s="2"/>
      <c r="P4" s="51" t="s">
        <v>105</v>
      </c>
      <c r="Q4" s="51"/>
      <c r="R4" s="2" t="s">
        <v>135</v>
      </c>
      <c r="S4" s="2"/>
    </row>
    <row r="5" spans="1:19" x14ac:dyDescent="0.4">
      <c r="A5" s="51" t="s">
        <v>106</v>
      </c>
      <c r="B5" s="51"/>
      <c r="C5" s="2" t="s">
        <v>108</v>
      </c>
      <c r="F5" s="51" t="s">
        <v>106</v>
      </c>
      <c r="G5" s="51"/>
      <c r="H5" s="2" t="s">
        <v>126</v>
      </c>
      <c r="I5" s="2"/>
      <c r="K5" s="51" t="s">
        <v>106</v>
      </c>
      <c r="L5" s="51"/>
      <c r="M5" s="2" t="s">
        <v>132</v>
      </c>
      <c r="N5" s="2"/>
      <c r="P5" s="51" t="s">
        <v>106</v>
      </c>
      <c r="Q5" s="51"/>
      <c r="R5" s="2" t="s">
        <v>136</v>
      </c>
      <c r="S5" s="2"/>
    </row>
    <row r="6" spans="1:19" x14ac:dyDescent="0.4">
      <c r="C6" s="2"/>
      <c r="H6" s="2"/>
      <c r="I6" s="2"/>
      <c r="M6" s="2"/>
      <c r="N6" s="2"/>
      <c r="R6" s="2"/>
      <c r="S6" s="2"/>
    </row>
    <row r="7" spans="1:19" x14ac:dyDescent="0.4">
      <c r="A7" s="39" t="s">
        <v>99</v>
      </c>
      <c r="B7" s="39" t="s">
        <v>7</v>
      </c>
      <c r="C7" s="39" t="s">
        <v>27</v>
      </c>
      <c r="D7" s="39" t="s">
        <v>109</v>
      </c>
      <c r="F7" s="39" t="s">
        <v>99</v>
      </c>
      <c r="G7" s="39" t="s">
        <v>7</v>
      </c>
      <c r="H7" s="39" t="s">
        <v>27</v>
      </c>
      <c r="I7" s="39" t="s">
        <v>109</v>
      </c>
      <c r="K7" s="39" t="s">
        <v>99</v>
      </c>
      <c r="L7" s="39" t="s">
        <v>7</v>
      </c>
      <c r="M7" s="39" t="s">
        <v>27</v>
      </c>
      <c r="N7" s="39" t="s">
        <v>109</v>
      </c>
      <c r="P7" s="39" t="s">
        <v>99</v>
      </c>
      <c r="Q7" s="39" t="s">
        <v>7</v>
      </c>
      <c r="R7" s="39" t="s">
        <v>27</v>
      </c>
      <c r="S7" s="39" t="s">
        <v>109</v>
      </c>
    </row>
    <row r="8" spans="1:19" x14ac:dyDescent="0.4">
      <c r="A8" s="34">
        <v>1</v>
      </c>
      <c r="B8" s="35">
        <v>3947</v>
      </c>
      <c r="C8" s="35">
        <v>2597</v>
      </c>
      <c r="D8" s="17" t="s">
        <v>73</v>
      </c>
      <c r="F8" s="34">
        <v>1</v>
      </c>
      <c r="G8" s="35">
        <v>2853</v>
      </c>
      <c r="H8" s="35">
        <v>2165</v>
      </c>
      <c r="I8" s="17" t="s">
        <v>73</v>
      </c>
      <c r="K8" s="34">
        <v>1</v>
      </c>
      <c r="L8" s="35">
        <v>3544</v>
      </c>
      <c r="M8" s="35">
        <v>2102</v>
      </c>
      <c r="N8" s="17" t="s">
        <v>73</v>
      </c>
      <c r="P8" s="34">
        <v>1</v>
      </c>
      <c r="Q8" s="35">
        <v>3417</v>
      </c>
      <c r="R8" s="35">
        <v>2114</v>
      </c>
      <c r="S8" s="17" t="s">
        <v>73</v>
      </c>
    </row>
    <row r="9" spans="1:19" x14ac:dyDescent="0.4">
      <c r="A9" s="34">
        <f t="shared" ref="A9:A16" si="0">A8+1</f>
        <v>2</v>
      </c>
      <c r="B9" s="35">
        <v>3927</v>
      </c>
      <c r="C9" s="35">
        <v>2629</v>
      </c>
      <c r="D9" s="17" t="s">
        <v>73</v>
      </c>
      <c r="F9" s="34">
        <f t="shared" ref="F9:F16" si="1">F8+1</f>
        <v>2</v>
      </c>
      <c r="G9" s="35">
        <v>2853</v>
      </c>
      <c r="H9" s="35">
        <v>2193</v>
      </c>
      <c r="I9" s="17" t="s">
        <v>73</v>
      </c>
      <c r="K9" s="34">
        <f t="shared" ref="K9:K16" si="2">K8+1</f>
        <v>2</v>
      </c>
      <c r="L9" s="35">
        <v>3558</v>
      </c>
      <c r="M9" s="35">
        <v>2099</v>
      </c>
      <c r="N9" s="17" t="s">
        <v>73</v>
      </c>
      <c r="P9" s="34">
        <f t="shared" ref="P9:P16" si="3">P8+1</f>
        <v>2</v>
      </c>
      <c r="Q9" s="35">
        <v>3469</v>
      </c>
      <c r="R9" s="35">
        <v>2136</v>
      </c>
      <c r="S9" s="17" t="s">
        <v>73</v>
      </c>
    </row>
    <row r="10" spans="1:19" x14ac:dyDescent="0.4">
      <c r="A10" s="34">
        <f t="shared" si="0"/>
        <v>3</v>
      </c>
      <c r="B10" s="35">
        <v>3902</v>
      </c>
      <c r="C10" s="35">
        <v>2573</v>
      </c>
      <c r="D10" s="17" t="s">
        <v>73</v>
      </c>
      <c r="F10" s="34">
        <f t="shared" si="1"/>
        <v>3</v>
      </c>
      <c r="G10" s="35">
        <v>2856</v>
      </c>
      <c r="H10" s="35">
        <v>2186</v>
      </c>
      <c r="I10" s="17" t="s">
        <v>73</v>
      </c>
      <c r="K10" s="34">
        <f t="shared" si="2"/>
        <v>3</v>
      </c>
      <c r="L10" s="35">
        <v>3535</v>
      </c>
      <c r="M10" s="35">
        <v>2134</v>
      </c>
      <c r="N10" s="17" t="s">
        <v>73</v>
      </c>
      <c r="P10" s="34">
        <f t="shared" si="3"/>
        <v>3</v>
      </c>
      <c r="Q10" s="35">
        <v>3465</v>
      </c>
      <c r="R10" s="35">
        <v>2129</v>
      </c>
      <c r="S10" s="17" t="s">
        <v>73</v>
      </c>
    </row>
    <row r="11" spans="1:19" x14ac:dyDescent="0.4">
      <c r="A11" s="34">
        <f t="shared" si="0"/>
        <v>4</v>
      </c>
      <c r="B11" s="35">
        <v>3864</v>
      </c>
      <c r="C11" s="35">
        <v>2608</v>
      </c>
      <c r="D11" s="17" t="s">
        <v>73</v>
      </c>
      <c r="F11" s="34">
        <f t="shared" si="1"/>
        <v>4</v>
      </c>
      <c r="G11" s="35">
        <v>2854</v>
      </c>
      <c r="H11" s="35">
        <v>2162</v>
      </c>
      <c r="I11" s="17" t="s">
        <v>73</v>
      </c>
      <c r="K11" s="34">
        <f t="shared" si="2"/>
        <v>4</v>
      </c>
      <c r="L11" s="35">
        <v>3655</v>
      </c>
      <c r="M11" s="35">
        <v>2109</v>
      </c>
      <c r="N11" s="17" t="s">
        <v>73</v>
      </c>
      <c r="P11" s="34">
        <f t="shared" si="3"/>
        <v>4</v>
      </c>
      <c r="Q11" s="35">
        <v>3579</v>
      </c>
      <c r="R11" s="35">
        <v>2132</v>
      </c>
      <c r="S11" s="17" t="s">
        <v>73</v>
      </c>
    </row>
    <row r="12" spans="1:19" x14ac:dyDescent="0.4">
      <c r="A12" s="34">
        <f t="shared" si="0"/>
        <v>5</v>
      </c>
      <c r="B12" s="35">
        <v>3919</v>
      </c>
      <c r="C12" s="35">
        <v>2629</v>
      </c>
      <c r="D12" s="17" t="s">
        <v>73</v>
      </c>
      <c r="F12" s="34">
        <f t="shared" si="1"/>
        <v>5</v>
      </c>
      <c r="G12" s="35">
        <v>2855</v>
      </c>
      <c r="H12" s="35">
        <v>2160</v>
      </c>
      <c r="I12" s="17" t="s">
        <v>73</v>
      </c>
      <c r="K12" s="34">
        <f t="shared" si="2"/>
        <v>5</v>
      </c>
      <c r="L12" s="35">
        <v>3596</v>
      </c>
      <c r="M12" s="35">
        <v>2128</v>
      </c>
      <c r="N12" s="17" t="s">
        <v>73</v>
      </c>
      <c r="P12" s="34">
        <f t="shared" si="3"/>
        <v>5</v>
      </c>
      <c r="Q12" s="35">
        <v>3532</v>
      </c>
      <c r="R12" s="35">
        <v>2121</v>
      </c>
      <c r="S12" s="17" t="s">
        <v>73</v>
      </c>
    </row>
    <row r="13" spans="1:19" x14ac:dyDescent="0.4">
      <c r="A13" s="34">
        <f t="shared" si="0"/>
        <v>6</v>
      </c>
      <c r="B13" s="35">
        <v>4021</v>
      </c>
      <c r="C13" s="35">
        <v>2621</v>
      </c>
      <c r="D13" s="17" t="s">
        <v>73</v>
      </c>
      <c r="F13" s="34">
        <f t="shared" si="1"/>
        <v>6</v>
      </c>
      <c r="G13" s="35">
        <v>2825</v>
      </c>
      <c r="H13" s="35">
        <v>2165</v>
      </c>
      <c r="I13" s="17" t="s">
        <v>73</v>
      </c>
      <c r="K13" s="34">
        <f t="shared" si="2"/>
        <v>6</v>
      </c>
      <c r="L13" s="35">
        <v>3679</v>
      </c>
      <c r="M13" s="35">
        <v>2088</v>
      </c>
      <c r="N13" s="17" t="s">
        <v>73</v>
      </c>
      <c r="P13" s="34">
        <f t="shared" si="3"/>
        <v>6</v>
      </c>
      <c r="Q13" s="35">
        <v>3557</v>
      </c>
      <c r="R13" s="35">
        <v>2116</v>
      </c>
      <c r="S13" s="17" t="s">
        <v>73</v>
      </c>
    </row>
    <row r="14" spans="1:19" x14ac:dyDescent="0.4">
      <c r="A14" s="34">
        <f t="shared" si="0"/>
        <v>7</v>
      </c>
      <c r="B14" s="35">
        <v>4028</v>
      </c>
      <c r="C14" s="35">
        <v>2576</v>
      </c>
      <c r="D14" s="17" t="s">
        <v>73</v>
      </c>
      <c r="F14" s="34">
        <f t="shared" si="1"/>
        <v>7</v>
      </c>
      <c r="G14" s="35">
        <v>2856</v>
      </c>
      <c r="H14" s="35">
        <v>2186</v>
      </c>
      <c r="I14" s="17" t="s">
        <v>73</v>
      </c>
      <c r="K14" s="34">
        <f t="shared" si="2"/>
        <v>7</v>
      </c>
      <c r="L14" s="35">
        <v>3691</v>
      </c>
      <c r="M14" s="35">
        <v>2096</v>
      </c>
      <c r="N14" s="17" t="s">
        <v>73</v>
      </c>
      <c r="P14" s="34">
        <f t="shared" si="3"/>
        <v>7</v>
      </c>
      <c r="Q14" s="35">
        <v>3405</v>
      </c>
      <c r="R14" s="35">
        <v>2115</v>
      </c>
      <c r="S14" s="17" t="s">
        <v>73</v>
      </c>
    </row>
    <row r="15" spans="1:19" x14ac:dyDescent="0.4">
      <c r="A15" s="34">
        <f t="shared" si="0"/>
        <v>8</v>
      </c>
      <c r="B15" s="35">
        <v>3950</v>
      </c>
      <c r="C15" s="35">
        <v>2598</v>
      </c>
      <c r="D15" s="17" t="s">
        <v>73</v>
      </c>
      <c r="F15" s="34">
        <f t="shared" si="1"/>
        <v>8</v>
      </c>
      <c r="G15" s="35">
        <v>2841</v>
      </c>
      <c r="H15" s="35">
        <v>2167</v>
      </c>
      <c r="I15" s="17" t="s">
        <v>73</v>
      </c>
      <c r="K15" s="34">
        <f t="shared" si="2"/>
        <v>8</v>
      </c>
      <c r="L15" s="35">
        <v>3608</v>
      </c>
      <c r="M15" s="35">
        <v>2127</v>
      </c>
      <c r="N15" s="17" t="s">
        <v>73</v>
      </c>
      <c r="P15" s="34">
        <f t="shared" si="3"/>
        <v>8</v>
      </c>
      <c r="Q15" s="35">
        <v>3568</v>
      </c>
      <c r="R15" s="35">
        <v>2105</v>
      </c>
      <c r="S15" s="17" t="s">
        <v>73</v>
      </c>
    </row>
    <row r="16" spans="1:19" x14ac:dyDescent="0.4">
      <c r="A16" s="34">
        <f t="shared" si="0"/>
        <v>9</v>
      </c>
      <c r="B16" s="35">
        <v>3844</v>
      </c>
      <c r="C16" s="35">
        <v>2600</v>
      </c>
      <c r="D16" s="17" t="s">
        <v>73</v>
      </c>
      <c r="F16" s="34">
        <f t="shared" si="1"/>
        <v>9</v>
      </c>
      <c r="G16" s="35">
        <v>2842</v>
      </c>
      <c r="H16" s="35">
        <v>2169</v>
      </c>
      <c r="I16" s="17" t="s">
        <v>73</v>
      </c>
      <c r="K16" s="34">
        <f t="shared" si="2"/>
        <v>9</v>
      </c>
      <c r="L16" s="35">
        <v>3586</v>
      </c>
      <c r="M16" s="35">
        <v>2123</v>
      </c>
      <c r="N16" s="17" t="s">
        <v>73</v>
      </c>
      <c r="P16" s="34">
        <f t="shared" si="3"/>
        <v>9</v>
      </c>
      <c r="Q16" s="35">
        <v>3602</v>
      </c>
      <c r="R16" s="35">
        <v>2136</v>
      </c>
      <c r="S16" s="17" t="s">
        <v>73</v>
      </c>
    </row>
    <row r="17" spans="1:19" x14ac:dyDescent="0.4">
      <c r="A17" s="36"/>
      <c r="B17" s="36"/>
      <c r="C17" s="36"/>
      <c r="F17" s="36"/>
      <c r="G17" s="36"/>
      <c r="H17" s="36"/>
      <c r="I17" s="2"/>
      <c r="K17" s="36"/>
      <c r="L17" s="36"/>
      <c r="M17" s="36"/>
      <c r="N17" s="2"/>
      <c r="P17" s="36"/>
      <c r="Q17" s="36"/>
      <c r="R17" s="36"/>
      <c r="S17" s="2"/>
    </row>
    <row r="18" spans="1:19" x14ac:dyDescent="0.4">
      <c r="A18" s="36" t="s">
        <v>100</v>
      </c>
      <c r="B18" s="36">
        <f>MAX(B8:B16)</f>
        <v>4028</v>
      </c>
      <c r="C18" s="36">
        <f>MAX(C8:C16)</f>
        <v>2629</v>
      </c>
      <c r="D18" s="17" t="s">
        <v>73</v>
      </c>
      <c r="F18" s="36" t="s">
        <v>100</v>
      </c>
      <c r="G18" s="36">
        <f>MAX(G8:G16)</f>
        <v>2856</v>
      </c>
      <c r="H18" s="36">
        <f>MAX(H8:H16)</f>
        <v>2193</v>
      </c>
      <c r="I18" s="17" t="s">
        <v>73</v>
      </c>
      <c r="K18" s="36" t="s">
        <v>100</v>
      </c>
      <c r="L18" s="36">
        <f>MAX(L8:L16)</f>
        <v>3691</v>
      </c>
      <c r="M18" s="36">
        <f>MAX(M8:M16)</f>
        <v>2134</v>
      </c>
      <c r="N18" s="17" t="s">
        <v>73</v>
      </c>
      <c r="P18" s="36" t="s">
        <v>100</v>
      </c>
      <c r="Q18" s="36">
        <f>MAX(Q8:Q16)</f>
        <v>3602</v>
      </c>
      <c r="R18" s="36">
        <f>MAX(R8:R16)</f>
        <v>2136</v>
      </c>
      <c r="S18" s="17" t="s">
        <v>73</v>
      </c>
    </row>
    <row r="19" spans="1:19" x14ac:dyDescent="0.4">
      <c r="A19" s="36" t="s">
        <v>101</v>
      </c>
      <c r="B19" s="37">
        <f>B18*9</f>
        <v>36252</v>
      </c>
      <c r="C19" s="37">
        <f>C18*9</f>
        <v>23661</v>
      </c>
      <c r="D19" s="17" t="s">
        <v>73</v>
      </c>
      <c r="F19" s="36" t="s">
        <v>101</v>
      </c>
      <c r="G19" s="37">
        <f>G18*9</f>
        <v>25704</v>
      </c>
      <c r="H19" s="37">
        <f>H18*9</f>
        <v>19737</v>
      </c>
      <c r="I19" s="17" t="s">
        <v>73</v>
      </c>
      <c r="K19" s="36" t="s">
        <v>101</v>
      </c>
      <c r="L19" s="37">
        <f>L18*9</f>
        <v>33219</v>
      </c>
      <c r="M19" s="37">
        <f>M18*9</f>
        <v>19206</v>
      </c>
      <c r="N19" s="17" t="s">
        <v>73</v>
      </c>
      <c r="P19" s="36" t="s">
        <v>101</v>
      </c>
      <c r="Q19" s="37">
        <f>Q18*9</f>
        <v>32418</v>
      </c>
      <c r="R19" s="37">
        <f>R18*9</f>
        <v>19224</v>
      </c>
      <c r="S19" s="17" t="s">
        <v>73</v>
      </c>
    </row>
    <row r="20" spans="1:19" x14ac:dyDescent="0.4">
      <c r="A20" s="50" t="s">
        <v>15</v>
      </c>
      <c r="B20" s="50"/>
      <c r="C20" s="36">
        <f>B19+C19</f>
        <v>59913</v>
      </c>
      <c r="D20" s="2" t="s">
        <v>73</v>
      </c>
      <c r="F20" s="50" t="s">
        <v>15</v>
      </c>
      <c r="G20" s="50"/>
      <c r="H20" s="36">
        <f>G19+H19</f>
        <v>45441</v>
      </c>
      <c r="I20" s="2" t="s">
        <v>73</v>
      </c>
      <c r="K20" s="50" t="s">
        <v>15</v>
      </c>
      <c r="L20" s="50"/>
      <c r="M20" s="36">
        <f>L19+M19</f>
        <v>52425</v>
      </c>
      <c r="N20" s="2" t="s">
        <v>73</v>
      </c>
      <c r="P20" s="50" t="s">
        <v>15</v>
      </c>
      <c r="Q20" s="50"/>
      <c r="R20" s="36">
        <f>Q19+R19</f>
        <v>51642</v>
      </c>
      <c r="S20" s="2" t="s">
        <v>73</v>
      </c>
    </row>
    <row r="21" spans="1:19" x14ac:dyDescent="0.4">
      <c r="A21" s="50"/>
      <c r="B21" s="50"/>
      <c r="C21" s="38">
        <f>C20/1024</f>
        <v>58.5087890625</v>
      </c>
      <c r="D21" s="2" t="s">
        <v>6</v>
      </c>
      <c r="F21" s="50"/>
      <c r="G21" s="50"/>
      <c r="H21" s="38">
        <f>H20/1024</f>
        <v>44.3759765625</v>
      </c>
      <c r="I21" s="2" t="s">
        <v>6</v>
      </c>
      <c r="K21" s="50"/>
      <c r="L21" s="50"/>
      <c r="M21" s="38">
        <f>M20/1024</f>
        <v>51.1962890625</v>
      </c>
      <c r="N21" s="2" t="s">
        <v>6</v>
      </c>
      <c r="P21" s="50"/>
      <c r="Q21" s="50"/>
      <c r="R21" s="38">
        <f>R20/1024</f>
        <v>50.431640625</v>
      </c>
      <c r="S21" s="2" t="s">
        <v>6</v>
      </c>
    </row>
    <row r="22" spans="1:19" x14ac:dyDescent="0.4">
      <c r="A22" s="50" t="s">
        <v>102</v>
      </c>
      <c r="B22" s="50"/>
      <c r="C22" s="40">
        <f>C20/3</f>
        <v>19971</v>
      </c>
      <c r="D22" s="2" t="s">
        <v>73</v>
      </c>
      <c r="F22" s="50" t="s">
        <v>102</v>
      </c>
      <c r="G22" s="50"/>
      <c r="H22" s="36">
        <f>H20/3</f>
        <v>15147</v>
      </c>
      <c r="I22" s="2" t="s">
        <v>73</v>
      </c>
      <c r="K22" s="50" t="s">
        <v>102</v>
      </c>
      <c r="L22" s="50"/>
      <c r="M22" s="36">
        <f>M20/3</f>
        <v>17475</v>
      </c>
      <c r="N22" s="2" t="s">
        <v>73</v>
      </c>
      <c r="P22" s="50" t="s">
        <v>102</v>
      </c>
      <c r="Q22" s="50"/>
      <c r="R22" s="36">
        <f>R20/3</f>
        <v>17214</v>
      </c>
      <c r="S22" s="2" t="s">
        <v>73</v>
      </c>
    </row>
    <row r="23" spans="1:19" x14ac:dyDescent="0.4">
      <c r="A23" s="50"/>
      <c r="B23" s="50"/>
      <c r="C23" s="38">
        <f>C21/3</f>
        <v>19.5029296875</v>
      </c>
      <c r="D23" s="2" t="s">
        <v>6</v>
      </c>
      <c r="F23" s="50"/>
      <c r="G23" s="50"/>
      <c r="H23" s="38">
        <f>H21/3</f>
        <v>14.7919921875</v>
      </c>
      <c r="I23" s="2" t="s">
        <v>6</v>
      </c>
      <c r="K23" s="50"/>
      <c r="L23" s="50"/>
      <c r="M23" s="38">
        <f>M21/3</f>
        <v>17.0654296875</v>
      </c>
      <c r="N23" s="2" t="s">
        <v>6</v>
      </c>
      <c r="P23" s="50"/>
      <c r="Q23" s="50"/>
      <c r="R23" s="38">
        <f>R21/3</f>
        <v>16.810546875</v>
      </c>
      <c r="S23" s="2" t="s">
        <v>6</v>
      </c>
    </row>
  </sheetData>
  <mergeCells count="24">
    <mergeCell ref="P22:Q23"/>
    <mergeCell ref="P2:Q2"/>
    <mergeCell ref="P3:Q3"/>
    <mergeCell ref="P4:Q4"/>
    <mergeCell ref="P5:Q5"/>
    <mergeCell ref="P20:Q21"/>
    <mergeCell ref="F22:G23"/>
    <mergeCell ref="F2:G2"/>
    <mergeCell ref="F3:G3"/>
    <mergeCell ref="F4:G4"/>
    <mergeCell ref="F5:G5"/>
    <mergeCell ref="F20:G21"/>
    <mergeCell ref="A20:B21"/>
    <mergeCell ref="A22:B23"/>
    <mergeCell ref="A2:B2"/>
    <mergeCell ref="A3:B3"/>
    <mergeCell ref="A4:B4"/>
    <mergeCell ref="A5:B5"/>
    <mergeCell ref="K22:L23"/>
    <mergeCell ref="K2:L2"/>
    <mergeCell ref="K3:L3"/>
    <mergeCell ref="K4:L4"/>
    <mergeCell ref="K5:L5"/>
    <mergeCell ref="K20:L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workbookViewId="0">
      <selection activeCell="B25" sqref="B25"/>
    </sheetView>
  </sheetViews>
  <sheetFormatPr defaultRowHeight="14.6" x14ac:dyDescent="0.4"/>
  <cols>
    <col min="1" max="1" width="29.15234375" bestFit="1" customWidth="1"/>
    <col min="2" max="2" width="11.3046875" bestFit="1" customWidth="1"/>
    <col min="3" max="3" width="4.3828125" bestFit="1" customWidth="1"/>
    <col min="4" max="4" width="13.15234375" bestFit="1" customWidth="1"/>
    <col min="5" max="5" width="3.3828125" bestFit="1" customWidth="1"/>
    <col min="6" max="6" width="8.15234375" bestFit="1" customWidth="1"/>
    <col min="7" max="7" width="6.53515625" bestFit="1" customWidth="1"/>
    <col min="8" max="8" width="4.3828125" bestFit="1" customWidth="1"/>
  </cols>
  <sheetData>
    <row r="1" spans="1:9" x14ac:dyDescent="0.4">
      <c r="B1" s="2"/>
    </row>
    <row r="2" spans="1:9" x14ac:dyDescent="0.4">
      <c r="A2" t="s">
        <v>0</v>
      </c>
      <c r="B2" s="2" t="s">
        <v>1</v>
      </c>
    </row>
    <row r="3" spans="1:9" x14ac:dyDescent="0.4">
      <c r="A3" t="s">
        <v>2</v>
      </c>
      <c r="B3" s="2" t="s">
        <v>3</v>
      </c>
    </row>
    <row r="4" spans="1:9" x14ac:dyDescent="0.4">
      <c r="A4" t="s">
        <v>4</v>
      </c>
      <c r="B4" s="2" t="s">
        <v>3</v>
      </c>
    </row>
    <row r="5" spans="1:9" x14ac:dyDescent="0.4">
      <c r="B5" s="2"/>
    </row>
    <row r="6" spans="1:9" x14ac:dyDescent="0.4">
      <c r="A6" s="1" t="s">
        <v>8</v>
      </c>
      <c r="B6" s="2" t="s">
        <v>0</v>
      </c>
    </row>
    <row r="7" spans="1:9" x14ac:dyDescent="0.4">
      <c r="A7" s="1" t="s">
        <v>9</v>
      </c>
      <c r="B7" s="3">
        <v>44522</v>
      </c>
    </row>
    <row r="8" spans="1:9" x14ac:dyDescent="0.4">
      <c r="A8" s="1" t="s">
        <v>10</v>
      </c>
      <c r="B8" s="2" t="s">
        <v>11</v>
      </c>
    </row>
    <row r="9" spans="1:9" x14ac:dyDescent="0.4">
      <c r="A9" s="1" t="s">
        <v>14</v>
      </c>
      <c r="B9">
        <v>3</v>
      </c>
      <c r="D9" t="s">
        <v>15</v>
      </c>
    </row>
    <row r="10" spans="1:9" x14ac:dyDescent="0.4">
      <c r="A10" s="1" t="s">
        <v>12</v>
      </c>
      <c r="B10">
        <v>16</v>
      </c>
      <c r="D10">
        <f>B10*$B$9</f>
        <v>48</v>
      </c>
    </row>
    <row r="11" spans="1:9" x14ac:dyDescent="0.4">
      <c r="A11" s="1" t="s">
        <v>13</v>
      </c>
      <c r="B11">
        <v>128</v>
      </c>
      <c r="C11" t="s">
        <v>6</v>
      </c>
      <c r="D11">
        <f>B11*$B$9</f>
        <v>384</v>
      </c>
      <c r="E11" t="s">
        <v>6</v>
      </c>
    </row>
    <row r="12" spans="1:9" x14ac:dyDescent="0.4">
      <c r="A12" s="1"/>
      <c r="B12" s="2"/>
    </row>
    <row r="13" spans="1:9" x14ac:dyDescent="0.4">
      <c r="A13" s="1"/>
      <c r="B13" s="2"/>
    </row>
    <row r="15" spans="1:9" x14ac:dyDescent="0.4">
      <c r="B15" s="52" t="s">
        <v>16</v>
      </c>
      <c r="C15" s="52"/>
      <c r="D15" s="52" t="s">
        <v>17</v>
      </c>
      <c r="E15" s="52"/>
      <c r="G15" s="52" t="s">
        <v>18</v>
      </c>
      <c r="H15" s="52"/>
      <c r="I15" s="52"/>
    </row>
    <row r="16" spans="1:9" x14ac:dyDescent="0.4">
      <c r="A16" t="s">
        <v>5</v>
      </c>
      <c r="B16">
        <v>785</v>
      </c>
      <c r="C16" t="s">
        <v>6</v>
      </c>
      <c r="D16">
        <f>B16</f>
        <v>785</v>
      </c>
      <c r="E16" t="s">
        <v>6</v>
      </c>
      <c r="F16" s="4">
        <f>D16/$D$16</f>
        <v>1</v>
      </c>
      <c r="G16" s="5">
        <f>42903812/1000000</f>
        <v>42.903812000000002</v>
      </c>
      <c r="H16" s="6" t="s">
        <v>23</v>
      </c>
      <c r="I16" s="4">
        <f>G16/$G$16</f>
        <v>1</v>
      </c>
    </row>
    <row r="17" spans="1:13" x14ac:dyDescent="0.4">
      <c r="A17" t="s">
        <v>19</v>
      </c>
      <c r="B17">
        <f>464/1024</f>
        <v>0.453125</v>
      </c>
      <c r="C17" t="s">
        <v>6</v>
      </c>
      <c r="D17">
        <f>B17</f>
        <v>0.453125</v>
      </c>
      <c r="E17" t="s">
        <v>6</v>
      </c>
      <c r="F17" s="4">
        <f>D17/$D$16</f>
        <v>5.7722929936305731E-4</v>
      </c>
      <c r="G17" s="5">
        <f>28256/1000000</f>
        <v>2.8256E-2</v>
      </c>
      <c r="H17" s="6" t="s">
        <v>23</v>
      </c>
      <c r="I17" s="4">
        <f>G17/$G$16</f>
        <v>6.5858949782830484E-4</v>
      </c>
    </row>
    <row r="20" spans="1:13" x14ac:dyDescent="0.4">
      <c r="A20" t="s">
        <v>20</v>
      </c>
    </row>
    <row r="21" spans="1:13" x14ac:dyDescent="0.4">
      <c r="A21" s="1" t="s">
        <v>21</v>
      </c>
      <c r="B21">
        <v>130</v>
      </c>
      <c r="C21" t="s">
        <v>6</v>
      </c>
      <c r="D21">
        <f>B16/$B$21</f>
        <v>6.0384615384615383</v>
      </c>
    </row>
    <row r="22" spans="1:13" x14ac:dyDescent="0.4">
      <c r="A22" s="1" t="s">
        <v>22</v>
      </c>
      <c r="B22">
        <v>12</v>
      </c>
      <c r="C22" t="s">
        <v>23</v>
      </c>
      <c r="D22">
        <f>G16/$B$22</f>
        <v>3.5753176666666668</v>
      </c>
      <c r="F22">
        <f>43/6</f>
        <v>7.166666666666667</v>
      </c>
    </row>
    <row r="23" spans="1:13" x14ac:dyDescent="0.4">
      <c r="A23" s="1"/>
    </row>
    <row r="24" spans="1:13" x14ac:dyDescent="0.4">
      <c r="A24" s="1"/>
      <c r="B24" t="s">
        <v>7</v>
      </c>
      <c r="D24" t="s">
        <v>27</v>
      </c>
    </row>
    <row r="25" spans="1:13" x14ac:dyDescent="0.4">
      <c r="A25" s="1" t="s">
        <v>24</v>
      </c>
      <c r="B25">
        <f>MAX(ROUND(D21,0), ROUND(D22,0))</f>
        <v>6</v>
      </c>
      <c r="D25">
        <f>B25</f>
        <v>6</v>
      </c>
    </row>
    <row r="26" spans="1:13" x14ac:dyDescent="0.4">
      <c r="A26" s="7" t="s">
        <v>25</v>
      </c>
      <c r="B26" s="8">
        <f>MAX(ROUNDUP(B17/$B$21,0), ROUNDUP(G17/$B$22,0))</f>
        <v>1</v>
      </c>
      <c r="C26" s="8"/>
      <c r="D26" s="8" t="s">
        <v>26</v>
      </c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4">
      <c r="A27" s="1"/>
    </row>
    <row r="28" spans="1:13" x14ac:dyDescent="0.4">
      <c r="A28" s="1"/>
    </row>
    <row r="29" spans="1:13" x14ac:dyDescent="0.4">
      <c r="A29" s="9" t="s">
        <v>32</v>
      </c>
    </row>
    <row r="30" spans="1:13" x14ac:dyDescent="0.4">
      <c r="A30" s="1" t="s">
        <v>28</v>
      </c>
      <c r="B30">
        <f>$D$10/($B$25+$D$25)</f>
        <v>4</v>
      </c>
      <c r="D30" t="s">
        <v>30</v>
      </c>
      <c r="E30" s="53" t="s">
        <v>31</v>
      </c>
      <c r="F30" s="53"/>
      <c r="G30" s="53"/>
      <c r="H30" s="53"/>
      <c r="I30" s="53"/>
      <c r="J30" s="53"/>
      <c r="K30" s="53"/>
      <c r="L30" s="53"/>
    </row>
    <row r="31" spans="1:13" x14ac:dyDescent="0.4">
      <c r="A31" s="1" t="s">
        <v>29</v>
      </c>
      <c r="B31">
        <f>$D$11/($B$25+$D$25)</f>
        <v>32</v>
      </c>
      <c r="C31" t="s">
        <v>6</v>
      </c>
      <c r="D31" t="s">
        <v>30</v>
      </c>
      <c r="E31" s="53"/>
      <c r="F31" s="53"/>
      <c r="G31" s="53"/>
      <c r="H31" s="53"/>
      <c r="I31" s="53"/>
      <c r="J31" s="53"/>
      <c r="K31" s="53"/>
      <c r="L31" s="53"/>
    </row>
  </sheetData>
  <mergeCells count="4">
    <mergeCell ref="G15:I15"/>
    <mergeCell ref="B15:C15"/>
    <mergeCell ref="D15:E15"/>
    <mergeCell ref="E30:L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30"/>
  <sheetViews>
    <sheetView workbookViewId="0">
      <selection activeCell="G17" sqref="G17"/>
    </sheetView>
  </sheetViews>
  <sheetFormatPr defaultColWidth="9.15234375" defaultRowHeight="14.6" x14ac:dyDescent="0.4"/>
  <cols>
    <col min="1" max="1" width="31" style="10" customWidth="1"/>
    <col min="2" max="3" width="10" style="10" bestFit="1" customWidth="1"/>
    <col min="4" max="16384" width="9.15234375" style="10"/>
  </cols>
  <sheetData>
    <row r="3" spans="1:5" x14ac:dyDescent="0.4">
      <c r="A3" s="10" t="s">
        <v>71</v>
      </c>
      <c r="D3" s="17"/>
      <c r="E3" s="10" t="s">
        <v>48</v>
      </c>
    </row>
    <row r="4" spans="1:5" x14ac:dyDescent="0.4">
      <c r="A4" s="10" t="s">
        <v>40</v>
      </c>
      <c r="B4" s="10">
        <f>16*B6</f>
        <v>48</v>
      </c>
      <c r="D4" s="17"/>
      <c r="E4" s="10" t="s">
        <v>45</v>
      </c>
    </row>
    <row r="5" spans="1:5" x14ac:dyDescent="0.4">
      <c r="A5" s="10" t="s">
        <v>39</v>
      </c>
      <c r="B5" s="10">
        <f>128*B6</f>
        <v>384</v>
      </c>
      <c r="D5" s="17" t="s">
        <v>6</v>
      </c>
    </row>
    <row r="6" spans="1:5" x14ac:dyDescent="0.4">
      <c r="A6" s="10" t="s">
        <v>38</v>
      </c>
      <c r="B6" s="10">
        <v>3</v>
      </c>
      <c r="D6" s="17"/>
      <c r="E6" s="10" t="s">
        <v>46</v>
      </c>
    </row>
    <row r="7" spans="1:5" x14ac:dyDescent="0.4">
      <c r="A7" s="10" t="s">
        <v>33</v>
      </c>
      <c r="B7" s="10">
        <v>785</v>
      </c>
      <c r="D7" s="17" t="s">
        <v>6</v>
      </c>
      <c r="E7" s="10" t="s">
        <v>44</v>
      </c>
    </row>
    <row r="8" spans="1:5" x14ac:dyDescent="0.4">
      <c r="A8" s="10" t="s">
        <v>36</v>
      </c>
      <c r="B8" s="15">
        <f>42903812/1000000</f>
        <v>42.903812000000002</v>
      </c>
      <c r="C8" s="15"/>
      <c r="D8" s="17" t="s">
        <v>23</v>
      </c>
      <c r="E8" s="10" t="s">
        <v>44</v>
      </c>
    </row>
    <row r="11" spans="1:5" x14ac:dyDescent="0.4">
      <c r="A11" s="10" t="s">
        <v>47</v>
      </c>
      <c r="B11" s="10" t="s">
        <v>49</v>
      </c>
      <c r="C11" s="10" t="s">
        <v>50</v>
      </c>
    </row>
    <row r="12" spans="1:5" x14ac:dyDescent="0.4">
      <c r="A12" s="10" t="s">
        <v>34</v>
      </c>
      <c r="B12" s="10">
        <v>6</v>
      </c>
      <c r="C12" s="10">
        <v>9</v>
      </c>
      <c r="D12" s="17"/>
    </row>
    <row r="13" spans="1:5" x14ac:dyDescent="0.4">
      <c r="A13" s="10" t="s">
        <v>41</v>
      </c>
      <c r="B13" s="10">
        <f>B12</f>
        <v>6</v>
      </c>
      <c r="C13" s="10">
        <f>C12</f>
        <v>9</v>
      </c>
      <c r="D13" s="17"/>
    </row>
    <row r="14" spans="1:5" x14ac:dyDescent="0.4">
      <c r="A14" s="13" t="s">
        <v>63</v>
      </c>
      <c r="B14" s="14">
        <f>SUM(B12:B13)</f>
        <v>12</v>
      </c>
      <c r="C14" s="14">
        <f>SUM(C12:C13)</f>
        <v>18</v>
      </c>
      <c r="D14" s="17"/>
    </row>
    <row r="15" spans="1:5" x14ac:dyDescent="0.4">
      <c r="A15" s="10" t="s">
        <v>42</v>
      </c>
      <c r="B15" s="10">
        <f>B4/B14</f>
        <v>4</v>
      </c>
      <c r="C15" s="11">
        <f>B4/C14</f>
        <v>2.6666666666666665</v>
      </c>
      <c r="D15" s="17"/>
    </row>
    <row r="16" spans="1:5" x14ac:dyDescent="0.4">
      <c r="A16" s="10" t="s">
        <v>43</v>
      </c>
      <c r="B16" s="10">
        <f>B5/B14</f>
        <v>32</v>
      </c>
      <c r="C16" s="11">
        <f>B5/C14</f>
        <v>21.333333333333332</v>
      </c>
      <c r="D16" s="17"/>
    </row>
    <row r="17" spans="1:4" x14ac:dyDescent="0.4">
      <c r="A17" s="10" t="s">
        <v>35</v>
      </c>
      <c r="B17" s="12">
        <f>B7/B12</f>
        <v>130.83333333333334</v>
      </c>
      <c r="C17" s="12">
        <f>B7/C12</f>
        <v>87.222222222222229</v>
      </c>
      <c r="D17" s="17" t="s">
        <v>6</v>
      </c>
    </row>
    <row r="18" spans="1:4" x14ac:dyDescent="0.4">
      <c r="A18" s="10" t="s">
        <v>37</v>
      </c>
      <c r="B18" s="15">
        <f>B8/B12</f>
        <v>7.1506353333333337</v>
      </c>
      <c r="C18" s="15">
        <f>B8/C12</f>
        <v>4.7670902222222225</v>
      </c>
      <c r="D18" s="17" t="s">
        <v>23</v>
      </c>
    </row>
    <row r="19" spans="1:4" x14ac:dyDescent="0.4">
      <c r="A19" s="16" t="s">
        <v>61</v>
      </c>
      <c r="D19" s="17"/>
    </row>
    <row r="20" spans="1:4" x14ac:dyDescent="0.4">
      <c r="A20" s="10" t="s">
        <v>51</v>
      </c>
      <c r="B20" s="10">
        <v>48</v>
      </c>
      <c r="C20" s="10">
        <v>48</v>
      </c>
      <c r="D20" s="17" t="s">
        <v>6</v>
      </c>
    </row>
    <row r="21" spans="1:4" x14ac:dyDescent="0.4">
      <c r="A21" s="10" t="s">
        <v>52</v>
      </c>
      <c r="B21" s="10">
        <f>B20*2*B14</f>
        <v>1152</v>
      </c>
      <c r="C21" s="10">
        <f>C20*2*C14</f>
        <v>1728</v>
      </c>
      <c r="D21" s="17" t="s">
        <v>6</v>
      </c>
    </row>
    <row r="22" spans="1:4" x14ac:dyDescent="0.4">
      <c r="A22" s="16" t="s">
        <v>62</v>
      </c>
      <c r="D22" s="17"/>
    </row>
    <row r="23" spans="1:4" x14ac:dyDescent="0.4">
      <c r="A23" s="10" t="s">
        <v>53</v>
      </c>
      <c r="B23" s="10">
        <f>B7*2</f>
        <v>1570</v>
      </c>
      <c r="C23" s="10">
        <f>B7*2</f>
        <v>1570</v>
      </c>
      <c r="D23" s="17" t="s">
        <v>6</v>
      </c>
    </row>
    <row r="24" spans="1:4" x14ac:dyDescent="0.4">
      <c r="A24" s="10" t="s">
        <v>54</v>
      </c>
      <c r="B24" s="10">
        <f>B21</f>
        <v>1152</v>
      </c>
      <c r="C24" s="10">
        <f>C21</f>
        <v>1728</v>
      </c>
      <c r="D24" s="17" t="s">
        <v>6</v>
      </c>
    </row>
    <row r="25" spans="1:4" x14ac:dyDescent="0.4">
      <c r="A25" s="10" t="s">
        <v>55</v>
      </c>
      <c r="B25" s="10">
        <v>150</v>
      </c>
      <c r="C25" s="10">
        <v>150</v>
      </c>
      <c r="D25" s="17" t="s">
        <v>6</v>
      </c>
    </row>
    <row r="26" spans="1:4" x14ac:dyDescent="0.4">
      <c r="A26" s="10" t="s">
        <v>56</v>
      </c>
      <c r="B26" s="10">
        <v>5</v>
      </c>
      <c r="C26" s="10">
        <v>5</v>
      </c>
      <c r="D26" s="17" t="s">
        <v>6</v>
      </c>
    </row>
    <row r="27" spans="1:4" x14ac:dyDescent="0.4">
      <c r="A27" s="10" t="s">
        <v>58</v>
      </c>
      <c r="B27" s="10">
        <f>SUM(B23:B26)</f>
        <v>2877</v>
      </c>
      <c r="C27" s="10">
        <f>SUM(C23:C26)</f>
        <v>3453</v>
      </c>
      <c r="D27" s="17" t="s">
        <v>6</v>
      </c>
    </row>
    <row r="28" spans="1:4" x14ac:dyDescent="0.4">
      <c r="A28" s="10" t="s">
        <v>59</v>
      </c>
      <c r="B28" s="15">
        <f>B27/1024</f>
        <v>2.8095703125</v>
      </c>
      <c r="C28" s="15">
        <f>C27/1024</f>
        <v>3.3720703125</v>
      </c>
      <c r="D28" s="17" t="s">
        <v>57</v>
      </c>
    </row>
    <row r="29" spans="1:4" x14ac:dyDescent="0.4">
      <c r="A29" s="10" t="s">
        <v>60</v>
      </c>
      <c r="B29" s="15">
        <f>B28/B6</f>
        <v>0.9365234375</v>
      </c>
      <c r="C29" s="15">
        <f>C28/B6</f>
        <v>1.1240234375</v>
      </c>
      <c r="D29" s="17" t="s">
        <v>57</v>
      </c>
    </row>
    <row r="30" spans="1:4" x14ac:dyDescent="0.4">
      <c r="D30" s="1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4"/>
  <sheetViews>
    <sheetView workbookViewId="0">
      <selection activeCell="G23" sqref="G23"/>
    </sheetView>
  </sheetViews>
  <sheetFormatPr defaultRowHeight="14.6" x14ac:dyDescent="0.4"/>
  <cols>
    <col min="1" max="1" width="37.84375" style="44" customWidth="1"/>
    <col min="2" max="2" width="12.15234375" style="10" bestFit="1" customWidth="1"/>
    <col min="3" max="3" width="4.69140625" style="42" bestFit="1" customWidth="1"/>
    <col min="4" max="4" width="12.84375" style="42" customWidth="1"/>
    <col min="5" max="5" width="12.15234375" style="10" bestFit="1" customWidth="1"/>
    <col min="6" max="6" width="4.69140625" style="42" bestFit="1" customWidth="1"/>
    <col min="7" max="8" width="12.84375" style="42" customWidth="1"/>
    <col min="9" max="9" width="4.69140625" style="42" bestFit="1" customWidth="1"/>
    <col min="10" max="10" width="12.765625" style="42" customWidth="1"/>
    <col min="11" max="11" width="4.69140625" style="42" customWidth="1"/>
    <col min="12" max="12" width="18.4609375" style="42" customWidth="1"/>
    <col min="13" max="16384" width="9.23046875" style="10"/>
  </cols>
  <sheetData>
    <row r="1" spans="1:12" ht="44.6" customHeight="1" x14ac:dyDescent="0.4">
      <c r="A1" s="44" t="s">
        <v>69</v>
      </c>
      <c r="B1" s="54" t="s">
        <v>124</v>
      </c>
      <c r="C1" s="54"/>
      <c r="D1" s="54"/>
      <c r="E1" s="54" t="s">
        <v>129</v>
      </c>
      <c r="F1" s="54"/>
      <c r="G1" s="54"/>
      <c r="H1" s="54" t="s">
        <v>130</v>
      </c>
      <c r="I1" s="54"/>
      <c r="J1" s="54"/>
      <c r="K1" s="41"/>
    </row>
    <row r="2" spans="1:12" x14ac:dyDescent="0.4">
      <c r="A2" s="44" t="s">
        <v>70</v>
      </c>
      <c r="B2" s="10">
        <v>777</v>
      </c>
      <c r="C2" s="42" t="s">
        <v>6</v>
      </c>
      <c r="E2" s="12">
        <f>521057/1024</f>
        <v>508.8447265625</v>
      </c>
      <c r="F2" s="42" t="s">
        <v>6</v>
      </c>
      <c r="H2" s="12">
        <f>525842/1024</f>
        <v>513.517578125</v>
      </c>
      <c r="I2" s="42" t="s">
        <v>6</v>
      </c>
      <c r="L2" s="42" t="s">
        <v>128</v>
      </c>
    </row>
    <row r="3" spans="1:12" x14ac:dyDescent="0.4">
      <c r="A3" s="44" t="s">
        <v>65</v>
      </c>
      <c r="B3" s="10">
        <v>9</v>
      </c>
      <c r="E3" s="10">
        <v>9</v>
      </c>
      <c r="H3" s="10">
        <v>9</v>
      </c>
    </row>
    <row r="4" spans="1:12" x14ac:dyDescent="0.4">
      <c r="A4" s="44" t="s">
        <v>64</v>
      </c>
      <c r="B4" s="12">
        <f>B2/B3</f>
        <v>86.333333333333329</v>
      </c>
      <c r="C4" s="42" t="s">
        <v>6</v>
      </c>
      <c r="E4" s="12">
        <f>E2/E3</f>
        <v>56.538302951388886</v>
      </c>
      <c r="F4" s="42" t="s">
        <v>6</v>
      </c>
      <c r="H4" s="12">
        <f>H2/H3</f>
        <v>57.057508680555557</v>
      </c>
      <c r="I4" s="42" t="s">
        <v>6</v>
      </c>
    </row>
    <row r="5" spans="1:12" x14ac:dyDescent="0.4">
      <c r="A5" s="44" t="s">
        <v>121</v>
      </c>
      <c r="B5" s="10">
        <v>48</v>
      </c>
      <c r="C5" s="42" t="s">
        <v>6</v>
      </c>
      <c r="E5" s="10">
        <v>48</v>
      </c>
      <c r="F5" s="42" t="s">
        <v>6</v>
      </c>
      <c r="H5" s="10">
        <v>48</v>
      </c>
      <c r="I5" s="42" t="s">
        <v>6</v>
      </c>
      <c r="L5" s="42" t="s">
        <v>122</v>
      </c>
    </row>
    <row r="6" spans="1:12" x14ac:dyDescent="0.4">
      <c r="A6" s="44" t="s">
        <v>68</v>
      </c>
      <c r="B6" s="10">
        <f>MIN(B4, B5)*2</f>
        <v>96</v>
      </c>
      <c r="C6" s="42" t="s">
        <v>6</v>
      </c>
      <c r="E6" s="10">
        <f>MIN(E4, E5)*2</f>
        <v>96</v>
      </c>
      <c r="F6" s="42" t="s">
        <v>6</v>
      </c>
      <c r="H6" s="10">
        <f>MIN(H4, H5)*2</f>
        <v>96</v>
      </c>
      <c r="I6" s="42" t="s">
        <v>6</v>
      </c>
      <c r="L6" s="42" t="s">
        <v>125</v>
      </c>
    </row>
    <row r="7" spans="1:12" x14ac:dyDescent="0.4">
      <c r="H7" s="10"/>
    </row>
    <row r="8" spans="1:12" x14ac:dyDescent="0.4">
      <c r="A8" s="44" t="s">
        <v>113</v>
      </c>
      <c r="B8" s="10">
        <v>1</v>
      </c>
      <c r="E8" s="10">
        <v>1</v>
      </c>
      <c r="H8" s="10">
        <v>1</v>
      </c>
    </row>
    <row r="9" spans="1:12" x14ac:dyDescent="0.4">
      <c r="A9" s="44" t="s">
        <v>66</v>
      </c>
      <c r="B9" s="10">
        <v>3</v>
      </c>
      <c r="E9" s="10">
        <v>3</v>
      </c>
      <c r="H9" s="10">
        <v>3</v>
      </c>
    </row>
    <row r="10" spans="1:12" x14ac:dyDescent="0.4">
      <c r="A10" s="44" t="s">
        <v>67</v>
      </c>
      <c r="B10" s="10">
        <v>1</v>
      </c>
      <c r="E10" s="10">
        <v>1</v>
      </c>
      <c r="H10" s="10">
        <v>1</v>
      </c>
    </row>
    <row r="11" spans="1:12" x14ac:dyDescent="0.4">
      <c r="H11" s="10"/>
    </row>
    <row r="12" spans="1:12" x14ac:dyDescent="0.4">
      <c r="A12" s="44" t="s">
        <v>114</v>
      </c>
      <c r="B12" s="10">
        <f>B6*B3</f>
        <v>864</v>
      </c>
      <c r="C12" s="42" t="s">
        <v>6</v>
      </c>
      <c r="E12" s="10">
        <f>E6*E3</f>
        <v>864</v>
      </c>
      <c r="F12" s="42" t="s">
        <v>6</v>
      </c>
      <c r="H12" s="10">
        <f>H6*H3</f>
        <v>864</v>
      </c>
      <c r="I12" s="42" t="s">
        <v>6</v>
      </c>
    </row>
    <row r="13" spans="1:12" x14ac:dyDescent="0.4">
      <c r="A13" s="44" t="s">
        <v>115</v>
      </c>
      <c r="B13" s="10">
        <f>B12*B8</f>
        <v>864</v>
      </c>
      <c r="C13" s="42" t="s">
        <v>6</v>
      </c>
      <c r="E13" s="10">
        <f>E12*E8</f>
        <v>864</v>
      </c>
      <c r="F13" s="42" t="s">
        <v>6</v>
      </c>
      <c r="H13" s="10">
        <f>H12*H8</f>
        <v>864</v>
      </c>
      <c r="I13" s="42" t="s">
        <v>6</v>
      </c>
    </row>
    <row r="14" spans="1:12" x14ac:dyDescent="0.4">
      <c r="A14" s="44" t="s">
        <v>116</v>
      </c>
      <c r="B14" s="43">
        <f>B12+B13</f>
        <v>1728</v>
      </c>
      <c r="C14" s="42" t="s">
        <v>6</v>
      </c>
      <c r="E14" s="43">
        <f>E12+E13</f>
        <v>1728</v>
      </c>
      <c r="F14" s="42" t="s">
        <v>6</v>
      </c>
      <c r="H14" s="43">
        <f>H12+H13</f>
        <v>1728</v>
      </c>
      <c r="I14" s="42" t="s">
        <v>6</v>
      </c>
    </row>
    <row r="15" spans="1:12" x14ac:dyDescent="0.4">
      <c r="H15" s="10"/>
    </row>
    <row r="16" spans="1:12" x14ac:dyDescent="0.4">
      <c r="A16" s="44" t="s">
        <v>118</v>
      </c>
      <c r="B16" s="10">
        <f>B2/B9/B10</f>
        <v>259</v>
      </c>
      <c r="C16" s="42" t="s">
        <v>6</v>
      </c>
      <c r="E16" s="12">
        <f>E2/E9/E10</f>
        <v>169.61490885416666</v>
      </c>
      <c r="F16" s="42" t="s">
        <v>6</v>
      </c>
      <c r="H16" s="12">
        <f>H2/H9/H10</f>
        <v>171.17252604166666</v>
      </c>
      <c r="I16" s="42" t="s">
        <v>6</v>
      </c>
    </row>
    <row r="17" spans="1:9" x14ac:dyDescent="0.4">
      <c r="A17" s="44" t="s">
        <v>117</v>
      </c>
      <c r="B17" s="10">
        <f>B16*B8</f>
        <v>259</v>
      </c>
      <c r="C17" s="42" t="s">
        <v>6</v>
      </c>
      <c r="E17" s="12">
        <f>E16*E8</f>
        <v>169.61490885416666</v>
      </c>
      <c r="F17" s="42" t="s">
        <v>6</v>
      </c>
      <c r="H17" s="12">
        <f>H16*H8</f>
        <v>171.17252604166666</v>
      </c>
      <c r="I17" s="42" t="s">
        <v>6</v>
      </c>
    </row>
    <row r="18" spans="1:9" x14ac:dyDescent="0.4">
      <c r="A18" s="44" t="s">
        <v>119</v>
      </c>
      <c r="B18" s="10">
        <f>B12/B9/B10</f>
        <v>288</v>
      </c>
      <c r="C18" s="42" t="s">
        <v>6</v>
      </c>
      <c r="E18" s="12">
        <f>E12/E9/E10</f>
        <v>288</v>
      </c>
      <c r="F18" s="42" t="s">
        <v>6</v>
      </c>
      <c r="H18" s="12">
        <f>H12/H9/H10</f>
        <v>288</v>
      </c>
      <c r="I18" s="42" t="s">
        <v>6</v>
      </c>
    </row>
    <row r="19" spans="1:9" x14ac:dyDescent="0.4">
      <c r="A19" s="44" t="s">
        <v>120</v>
      </c>
      <c r="B19" s="10">
        <f>B18*B8</f>
        <v>288</v>
      </c>
      <c r="C19" s="42" t="s">
        <v>6</v>
      </c>
      <c r="E19" s="12">
        <f>E18*E8</f>
        <v>288</v>
      </c>
      <c r="F19" s="42" t="s">
        <v>6</v>
      </c>
      <c r="H19" s="12">
        <f>H18*H8</f>
        <v>288</v>
      </c>
      <c r="I19" s="42" t="s">
        <v>6</v>
      </c>
    </row>
    <row r="20" spans="1:9" x14ac:dyDescent="0.4">
      <c r="A20" s="44" t="s">
        <v>123</v>
      </c>
      <c r="B20" s="43">
        <f>SUM(B16:B19)</f>
        <v>1094</v>
      </c>
      <c r="C20" s="42" t="s">
        <v>6</v>
      </c>
      <c r="E20" s="45">
        <f>SUM(E16:E19)</f>
        <v>915.22981770833326</v>
      </c>
      <c r="F20" s="42" t="s">
        <v>6</v>
      </c>
      <c r="G20" s="46"/>
      <c r="H20" s="45">
        <f>SUM(H16:H19)</f>
        <v>918.34505208333326</v>
      </c>
      <c r="I20" s="42" t="s">
        <v>6</v>
      </c>
    </row>
    <row r="24" spans="1:9" x14ac:dyDescent="0.4">
      <c r="A24" s="44" t="s">
        <v>133</v>
      </c>
      <c r="H24" s="47">
        <v>40806746</v>
      </c>
    </row>
  </sheetData>
  <mergeCells count="3">
    <mergeCell ref="B1:D1"/>
    <mergeCell ref="E1:G1"/>
    <mergeCell ref="H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Group-Level Caches</vt:lpstr>
      <vt:lpstr>Forest Memory</vt:lpstr>
      <vt:lpstr>Back-of-Napkin</vt:lpstr>
      <vt:lpstr>Scenarios</vt:lpstr>
      <vt:lpstr>Forest Reserve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Hartwig</dc:creator>
  <cp:lastModifiedBy>Brent Hartwig</cp:lastModifiedBy>
  <dcterms:created xsi:type="dcterms:W3CDTF">2021-11-22T19:16:26Z</dcterms:created>
  <dcterms:modified xsi:type="dcterms:W3CDTF">2023-05-18T13:48:55Z</dcterms:modified>
</cp:coreProperties>
</file>