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workspaces\yale\repos\marklogic\docs\"/>
    </mc:Choice>
  </mc:AlternateContent>
  <xr:revisionPtr revIDLastSave="0" documentId="13_ncr:1_{264D6D73-62F5-4EEC-8858-1F78A4B227F0}" xr6:coauthVersionLast="47" xr6:coauthVersionMax="47" xr10:uidLastSave="{00000000-0000-0000-0000-000000000000}"/>
  <bookViews>
    <workbookView xWindow="-103" yWindow="-103" windowWidth="33120" windowHeight="18120" xr2:uid="{00000000-000D-0000-FFFF-FFFF00000000}"/>
  </bookViews>
  <sheets>
    <sheet name="Forest Storage Projection" sheetId="1" r:id="rId1"/>
    <sheet name="Starting Forest Report" sheetId="2" r:id="rId2"/>
    <sheet name="Ending Forest Report" sheetId="3" r:id="rId3"/>
  </sheets>
  <definedNames>
    <definedName name="_xlnm.Print_Area" localSheetId="0">'Forest Storage Projection'!$A$1:$F$104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 r="H108" i="3" l="1"/>
  <c r="H109" i="3" s="1"/>
  <c r="H108" i="2"/>
  <c r="H109" i="2" s="1"/>
  <c r="H110" i="2" s="1"/>
  <c r="C60" i="1"/>
  <c r="C43" i="1" l="1"/>
  <c r="H110" i="3"/>
  <c r="L108" i="2"/>
  <c r="C68" i="1" s="1"/>
  <c r="K108" i="2"/>
  <c r="K109" i="2" s="1"/>
  <c r="K110" i="2" s="1"/>
  <c r="K108" i="3"/>
  <c r="K109" i="3" s="1"/>
  <c r="C49" i="1" s="1"/>
  <c r="L108" i="3"/>
  <c r="C67" i="1" s="1"/>
  <c r="D109" i="2" l="1"/>
  <c r="D108" i="2"/>
  <c r="D109" i="3"/>
  <c r="D108" i="3"/>
  <c r="E21" i="1"/>
  <c r="C25" i="1"/>
  <c r="C44" i="1" s="1"/>
  <c r="C45" i="1" s="1"/>
  <c r="J108" i="3"/>
  <c r="J108" i="2"/>
  <c r="J109" i="2" s="1"/>
  <c r="I108" i="3"/>
  <c r="I109" i="3" s="1"/>
  <c r="C50" i="1" s="1"/>
  <c r="G108" i="3"/>
  <c r="G109" i="3" s="1"/>
  <c r="I108" i="2"/>
  <c r="I109" i="2" s="1"/>
  <c r="I110" i="2" s="1"/>
  <c r="G108" i="2"/>
  <c r="G109" i="2" s="1"/>
  <c r="G110" i="2" s="1"/>
  <c r="I110" i="3" l="1"/>
  <c r="J109" i="3"/>
  <c r="G110" i="3"/>
  <c r="C38" i="1"/>
  <c r="C75" i="1" s="1"/>
  <c r="C79" i="1"/>
  <c r="K110" i="3"/>
  <c r="C69" i="1"/>
  <c r="J110" i="2"/>
  <c r="C16" i="1"/>
  <c r="C59" i="1" s="1"/>
  <c r="C92" i="1"/>
  <c r="C83" i="1"/>
  <c r="F29" i="1" s="1"/>
  <c r="C39" i="1"/>
  <c r="E39" i="1" s="1"/>
  <c r="C81" i="1" l="1"/>
  <c r="E38" i="1"/>
  <c r="J110" i="3"/>
  <c r="C47" i="1"/>
  <c r="C48" i="1" s="1"/>
  <c r="C46" i="1"/>
  <c r="C61" i="1"/>
  <c r="C62" i="1" s="1"/>
  <c r="C100" i="1"/>
  <c r="C95" i="1"/>
  <c r="C86" i="1"/>
  <c r="C77" i="1"/>
  <c r="C37" i="1"/>
  <c r="C66" i="1"/>
  <c r="C70" i="1"/>
  <c r="C71" i="1" s="1"/>
  <c r="C72" i="1" s="1"/>
  <c r="F28" i="1" l="1"/>
  <c r="C74" i="1"/>
  <c r="C73" i="1"/>
  <c r="C88" i="1"/>
  <c r="C78" i="1"/>
  <c r="C40" i="1"/>
  <c r="C90" i="1" l="1"/>
  <c r="C80" i="1"/>
  <c r="C82" i="1" s="1"/>
  <c r="C84" i="1" s="1"/>
  <c r="C41" i="1"/>
  <c r="C63" i="1" s="1"/>
  <c r="C64" i="1" s="1"/>
  <c r="C96" i="1" l="1"/>
  <c r="C97" i="1" s="1"/>
  <c r="C42" i="1"/>
  <c r="C87" i="1" s="1"/>
  <c r="C52" i="1" l="1"/>
  <c r="C54" i="1" s="1"/>
  <c r="C55" i="1" s="1"/>
  <c r="C98" i="1"/>
  <c r="E42" i="1"/>
  <c r="C57" i="1"/>
  <c r="C56" i="1"/>
  <c r="C53" i="1" l="1"/>
  <c r="C89" i="1"/>
  <c r="C91" i="1" s="1"/>
  <c r="C93" i="1" l="1"/>
  <c r="C101" i="1"/>
  <c r="C103" i="1" s="1"/>
  <c r="C102" i="1" l="1"/>
</calcChain>
</file>

<file path=xl/sharedStrings.xml><?xml version="1.0" encoding="utf-8"?>
<sst xmlns="http://schemas.openxmlformats.org/spreadsheetml/2006/main" count="846" uniqueCount="250">
  <si>
    <t>Database</t>
  </si>
  <si>
    <t>Forest</t>
  </si>
  <si>
    <t>Host ID</t>
  </si>
  <si>
    <t>Data Dir</t>
  </si>
  <si>
    <t>Extensions</t>
  </si>
  <si>
    <t>/var/opt/MarkLogic</t>
  </si>
  <si>
    <t>Meters</t>
  </si>
  <si>
    <t>Documents</t>
  </si>
  <si>
    <t>Security</t>
  </si>
  <si>
    <t>Schemas</t>
  </si>
  <si>
    <t>Modules</t>
  </si>
  <si>
    <t>Fab</t>
  </si>
  <si>
    <t>Last-Login</t>
  </si>
  <si>
    <t>App-Services</t>
  </si>
  <si>
    <t>Triggers</t>
  </si>
  <si>
    <t>TB</t>
  </si>
  <si>
    <t>GB</t>
  </si>
  <si>
    <t>MB</t>
  </si>
  <si>
    <t>Forest Size (MB)</t>
  </si>
  <si>
    <t>Forest Reserve (MB)</t>
  </si>
  <si>
    <t>Device Space (MB)</t>
  </si>
  <si>
    <t>Doc Count</t>
  </si>
  <si>
    <t>Merging, re-indexing, and re-balancing are operations that can temporarily increase a database's storage footprint --sometimes significantly. As such, if any important decisions are to be made based on this report, consider running the report multiple times and using the most consistent values.</t>
  </si>
  <si>
    <t>Ending data points captured at</t>
  </si>
  <si>
    <t>Starting data points captured at</t>
  </si>
  <si>
    <t>Ending document count</t>
  </si>
  <si>
    <t>Starting document count</t>
  </si>
  <si>
    <t>Increase in document count</t>
  </si>
  <si>
    <t>Environment</t>
  </si>
  <si>
    <t>Production</t>
  </si>
  <si>
    <t>Daily growth rate</t>
  </si>
  <si>
    <t>The longer the duration between data point captures, the more accurate projections are likely to be.</t>
  </si>
  <si>
    <t>Data point capture duration, in days</t>
  </si>
  <si>
    <t>Difference in filtered row count</t>
  </si>
  <si>
    <t>If non-zero, please double-check the filtering criteria matches on both forest report tabs!</t>
  </si>
  <si>
    <t>No distinction is made between primary and replica forests as both types require the same levels of system resources.</t>
  </si>
  <si>
    <t>Projected increase in doc count</t>
  </si>
  <si>
    <t>●</t>
  </si>
  <si>
    <t>Data node count</t>
  </si>
  <si>
    <t>Forest volumes per data node</t>
  </si>
  <si>
    <t>Spreadsheet presumes like forest topology and evenly spread forests on available volumes for all data nodes in the environment.</t>
  </si>
  <si>
    <t>Collective Size of Filtered Forests</t>
  </si>
  <si>
    <t>Document Count of Filtered Forests</t>
  </si>
  <si>
    <t>Directions, Presumptions, and Caveats</t>
  </si>
  <si>
    <t>Projected Number of Forests</t>
  </si>
  <si>
    <t>Sizing Guidelines</t>
  </si>
  <si>
    <t>Override</t>
  </si>
  <si>
    <t>Projected size</t>
  </si>
  <si>
    <t>Projected document count</t>
  </si>
  <si>
    <t>Current size</t>
  </si>
  <si>
    <t>No. of forests per doc ct guideline</t>
  </si>
  <si>
    <t>No. of forests per size guideline</t>
  </si>
  <si>
    <t>Current number of documents</t>
  </si>
  <si>
    <t>No. of forests per guidelines</t>
  </si>
  <si>
    <t>Greater of the previous two rows</t>
  </si>
  <si>
    <t>Current no. of forests</t>
  </si>
  <si>
    <t>Current Number of Forests</t>
  </si>
  <si>
    <t>Projected number of documents</t>
  </si>
  <si>
    <t>When projecting the number of forests, please filter to one database's forests given documents and size per forest can vary materially between databases.</t>
  </si>
  <si>
    <t>No. of forests over (under) guidelines</t>
  </si>
  <si>
    <t>Read rate per forest</t>
  </si>
  <si>
    <t>MB/s</t>
  </si>
  <si>
    <t>Unknown</t>
  </si>
  <si>
    <t>Write rate per forest</t>
  </si>
  <si>
    <t>Calculated above.</t>
  </si>
  <si>
    <t>Provided above.</t>
  </si>
  <si>
    <t>Months to project for</t>
  </si>
  <si>
    <t>Projected count inc., not annualized</t>
  </si>
  <si>
    <t>Projected count inc., annualized</t>
  </si>
  <si>
    <t>Current no. of forests per guidelines</t>
  </si>
  <si>
    <t>Projected no. of forests per guidelines</t>
  </si>
  <si>
    <t>Read rate per volume per guideline</t>
  </si>
  <si>
    <t>Write rate per volume per guideline</t>
  </si>
  <si>
    <t>Current Read and Write Rates</t>
  </si>
  <si>
    <t>Projected Read and Write Rates</t>
  </si>
  <si>
    <t>--&gt;</t>
  </si>
  <si>
    <t>Based on ending capture date.</t>
  </si>
  <si>
    <t>"Ending Forest Report" tab data's date</t>
  </si>
  <si>
    <t>"Starting Forest Report" tab data's date</t>
  </si>
  <si>
    <t>When projecting storage needs or volume read and write rates, consider including all forests (clear all filters).</t>
  </si>
  <si>
    <t>Recommended: with or without forest filters</t>
  </si>
  <si>
    <t>Recommended: filter to content and frequently utilized forests</t>
  </si>
  <si>
    <t>Filtered</t>
  </si>
  <si>
    <t>All</t>
  </si>
  <si>
    <t>If any non-trivial forests are filtered out, these numbers are too low.</t>
  </si>
  <si>
    <t>The below blue-shaded section requires manual data entry.  The "Filtered forest description" may be the only value therein that should be updated after changing the filters.</t>
  </si>
  <si>
    <t>Presumes system growth between data point captures represents the anticipated growth rate.  Anomalies must be accounted for separately.</t>
  </si>
  <si>
    <t>Sizing guidelines immediately follow the blue-shaded section.  Values in the override column are used.  Set the differently than the defaults when deemed appropriate.  These may need to be updated after updating the forest filters (e.g., one database may have different performance needs than another).</t>
  </si>
  <si>
    <r>
      <t xml:space="preserve">Filtering criteria applied in both forest report tabs must be identical for an accurate comparison.  The difference in filtered row </t>
    </r>
    <r>
      <rPr>
        <i/>
        <sz val="10"/>
        <color theme="1"/>
        <rFont val="Calibri"/>
        <family val="2"/>
        <scheme val="minor"/>
      </rPr>
      <t xml:space="preserve">count </t>
    </r>
    <r>
      <rPr>
        <sz val="10"/>
        <color theme="1"/>
        <rFont val="Calibri"/>
        <family val="2"/>
        <scheme val="minor"/>
      </rPr>
      <t>is displayed below.  When non-zero, that cell is shaded red, as well as others that will read "FILTERING ERROR".  As the logic only goes by count, it is not infallible.  Care should be taken.</t>
    </r>
  </si>
  <si>
    <t>Average forest size</t>
  </si>
  <si>
    <t>Average No. of docs per forest</t>
  </si>
  <si>
    <t>Ending forest data size</t>
  </si>
  <si>
    <t>Starting forest data size</t>
  </si>
  <si>
    <t>Increase in forest data size</t>
  </si>
  <si>
    <t>Projected increase in forest data size</t>
  </si>
  <si>
    <t>Forest data increase, not annualized</t>
  </si>
  <si>
    <t>Forest data increase, annualized</t>
  </si>
  <si>
    <t>Recommended: No filters for the entire cluster's storage needs</t>
  </si>
  <si>
    <t>Large Date (MB)</t>
  </si>
  <si>
    <t>Journals (MB)</t>
  </si>
  <si>
    <t>Large Data (MB)</t>
  </si>
  <si>
    <r>
      <t xml:space="preserve">Recommended: filter to one database's forests </t>
    </r>
    <r>
      <rPr>
        <b/>
        <i/>
        <sz val="10"/>
        <color theme="1"/>
        <rFont val="Calibri"/>
        <family val="2"/>
        <scheme val="minor"/>
      </rPr>
      <t>else misleading</t>
    </r>
  </si>
  <si>
    <t>Projected large data size</t>
  </si>
  <si>
    <t>Current large data size</t>
  </si>
  <si>
    <t>Current journals plus 50%</t>
  </si>
  <si>
    <t>Excludes logs and indexes written to disk.</t>
  </si>
  <si>
    <t>Projected average forest volume size</t>
  </si>
  <si>
    <t>Forest Volume Depletion Projections</t>
  </si>
  <si>
    <t>Order</t>
  </si>
  <si>
    <t>Size of volume with least available</t>
  </si>
  <si>
    <t>Less forest reserve for one volume</t>
  </si>
  <si>
    <t>Available for new content</t>
  </si>
  <si>
    <t>Daily growth rate per volume</t>
  </si>
  <si>
    <t>Daily growth rate, large data</t>
  </si>
  <si>
    <t>Daily growth rate, forest data</t>
  </si>
  <si>
    <t>Includes large data.</t>
  </si>
  <si>
    <t>Project depletion date</t>
  </si>
  <si>
    <t>Packed with assumptions, but a stack in the ground.</t>
  </si>
  <si>
    <t>Replicated (MB)</t>
  </si>
  <si>
    <t>Current replicated forest size</t>
  </si>
  <si>
    <t>Daily growth rate, replicated forests</t>
  </si>
  <si>
    <t>Accounts for replicated data</t>
  </si>
  <si>
    <t>Projected replicated forest size</t>
  </si>
  <si>
    <t>If content forests were being replicated, we wouldn't see negative numbers here; too small to fuss with.</t>
  </si>
  <si>
    <t>Forest-Based Sizing Tool</t>
  </si>
  <si>
    <t>Ending capture date minus starting capture date.</t>
  </si>
  <si>
    <t>Spreadsheet presumes all volumes have same capacities.</t>
  </si>
  <si>
    <t>Target buffer or free space per volume</t>
  </si>
  <si>
    <t>Target buffer and free space, all vols.</t>
  </si>
  <si>
    <t>Projected forest reserve</t>
  </si>
  <si>
    <t>Accounts for replicated data.  Applies guideline factor.</t>
  </si>
  <si>
    <t>Skipping Calc.</t>
  </si>
  <si>
    <t>Presumes replication configuration does not change over the projection period.</t>
  </si>
  <si>
    <t>Projected size of all forest volumes, plus buffer / free space</t>
  </si>
  <si>
    <r>
      <rPr>
        <vertAlign val="superscript"/>
        <sz val="10"/>
        <color theme="1"/>
        <rFont val="Calibri"/>
        <family val="2"/>
        <scheme val="minor"/>
      </rPr>
      <t>1</t>
    </r>
    <r>
      <rPr>
        <sz val="10"/>
        <color theme="1"/>
        <rFont val="Calibri"/>
        <family val="2"/>
        <scheme val="minor"/>
      </rPr>
      <t xml:space="preserve"> Some of these are for a high performance database, per the Inside MarkLogic Server.  The Scalability, Availability, and Failover Guide suggests larger upper bounds yet those tip towards the high capacity database guidelines.</t>
    </r>
  </si>
  <si>
    <r>
      <rPr>
        <vertAlign val="superscript"/>
        <sz val="10"/>
        <color theme="1"/>
        <rFont val="Calibri"/>
        <family val="2"/>
        <scheme val="minor"/>
      </rPr>
      <t>2</t>
    </r>
    <r>
      <rPr>
        <sz val="10"/>
        <color theme="1"/>
        <rFont val="Calibri"/>
        <family val="2"/>
        <scheme val="minor"/>
      </rPr>
      <t xml:space="preserve"> Best representation is when the forest filters are restricted to a single content database.  Representation can otherwise be misleading.</t>
    </r>
  </si>
  <si>
    <r>
      <rPr>
        <vertAlign val="superscript"/>
        <sz val="10"/>
        <color theme="1"/>
        <rFont val="Calibri"/>
        <family val="2"/>
        <scheme val="minor"/>
      </rPr>
      <t>3</t>
    </r>
    <r>
      <rPr>
        <sz val="10"/>
        <color theme="1"/>
        <rFont val="Calibri"/>
        <family val="2"/>
        <scheme val="minor"/>
      </rPr>
      <t xml:space="preserve"> When the value is less than 1, the cluster could not support simultaneous re-indexing and merging for all forests in the cluster at the same time.  The likelihood is low, yet there is a risk, especially as deployments and upgrades can impose this.</t>
    </r>
  </si>
  <si>
    <r>
      <t xml:space="preserve">Forest reserve, factor of current </t>
    </r>
    <r>
      <rPr>
        <vertAlign val="superscript"/>
        <sz val="10"/>
        <color theme="1"/>
        <rFont val="Calibri"/>
        <family val="2"/>
        <scheme val="minor"/>
      </rPr>
      <t>3</t>
    </r>
  </si>
  <si>
    <r>
      <t xml:space="preserve">Default </t>
    </r>
    <r>
      <rPr>
        <b/>
        <vertAlign val="superscript"/>
        <sz val="10"/>
        <color theme="1"/>
        <rFont val="Calibri"/>
        <family val="2"/>
        <scheme val="minor"/>
      </rPr>
      <t>1</t>
    </r>
  </si>
  <si>
    <r>
      <t xml:space="preserve">Current </t>
    </r>
    <r>
      <rPr>
        <b/>
        <vertAlign val="superscript"/>
        <sz val="10"/>
        <color theme="1"/>
        <rFont val="Calibri"/>
        <family val="2"/>
        <scheme val="minor"/>
      </rPr>
      <t>2</t>
    </r>
  </si>
  <si>
    <t>Average document size</t>
  </si>
  <si>
    <t>KB</t>
  </si>
  <si>
    <t>Cluster-wide: 18.5 GB for 5 - 14 Oct.  15 GB for 5 - 21 Oct.  13.5 GB for 5 - 28 Oct.  11.5 GB for 5 Oct - 5 Nov.</t>
  </si>
  <si>
    <t>acme-data-hub-FINAL</t>
  </si>
  <si>
    <t>acme-data-hub-FINAL-1</t>
  </si>
  <si>
    <t>acme-data-hub-FINAL-2</t>
  </si>
  <si>
    <t>acme-data-hub-FINAL-3</t>
  </si>
  <si>
    <t>acme-data-hub-FINAL-4</t>
  </si>
  <si>
    <t>acme-data-hub-FINAL-5</t>
  </si>
  <si>
    <t>acme-data-hub-FINAL-6</t>
  </si>
  <si>
    <t>acme-data-hub-FINAL-7</t>
  </si>
  <si>
    <t>acme-data-hub-FINAL-8</t>
  </si>
  <si>
    <t>acme-data-hub-FINAL-9</t>
  </si>
  <si>
    <t>acme-data-hub-FINAL-10</t>
  </si>
  <si>
    <t>acme-data-hub-FINAL-11</t>
  </si>
  <si>
    <t>acme-data-hub-FINAL-12</t>
  </si>
  <si>
    <t>acme-data-hub-FINAL-13</t>
  </si>
  <si>
    <t>acme-data-hub-FINAL-14</t>
  </si>
  <si>
    <t>acme-data-hub-FINAL-15</t>
  </si>
  <si>
    <t>acme-data-hub-FINAL-16</t>
  </si>
  <si>
    <t>acme-data-hub-FINAL-17</t>
  </si>
  <si>
    <t>acme-data-hub-FINAL-18</t>
  </si>
  <si>
    <t>acme-data-hub-FINAL-19</t>
  </si>
  <si>
    <t>acme-data-hub-FINAL-20</t>
  </si>
  <si>
    <t>acme-data-hub-FINAL-21</t>
  </si>
  <si>
    <t>acme-data-hub-FINAL-22</t>
  </si>
  <si>
    <t>acme-data-hub-FINAL-23</t>
  </si>
  <si>
    <t>acme-data-hub-FINAL-24</t>
  </si>
  <si>
    <t>acme-data-hub-final-SCHEMAS</t>
  </si>
  <si>
    <t>acme-data-hub-final-SCHEMAS-1</t>
  </si>
  <si>
    <t>acme-data-hub-final-SCHEMAS-2</t>
  </si>
  <si>
    <t>acme-data-hub-final-SCHEMAS-3</t>
  </si>
  <si>
    <t>acme-data-hub-final-SCHEMAS-4</t>
  </si>
  <si>
    <t>acme-data-hub-final-SCHEMAS-5</t>
  </si>
  <si>
    <t>acme-data-hub-final-SCHEMAS-6</t>
  </si>
  <si>
    <t>acme-data-hub-final-TRIGGERS</t>
  </si>
  <si>
    <t>acme-data-hub-final-TRIGGERS-1</t>
  </si>
  <si>
    <t>acme-data-hub-final-TRIGGERS-2</t>
  </si>
  <si>
    <t>acme-data-hub-final-TRIGGERS-3</t>
  </si>
  <si>
    <t>acme-data-hub-final-TRIGGERS-4</t>
  </si>
  <si>
    <t>acme-data-hub-final-TRIGGERS-5</t>
  </si>
  <si>
    <t>acme-data-hub-final-TRIGGERS-6</t>
  </si>
  <si>
    <t>acme-data-hub-JOBS</t>
  </si>
  <si>
    <t>acme-data-hub-JOBS-1</t>
  </si>
  <si>
    <t>acme-data-hub-JOBS-2</t>
  </si>
  <si>
    <t>acme-data-hub-JOBS-3</t>
  </si>
  <si>
    <t>acme-data-hub-JOBS-4</t>
  </si>
  <si>
    <t>acme-data-hub-JOBS-5</t>
  </si>
  <si>
    <t>acme-data-hub-JOBS-6</t>
  </si>
  <si>
    <t>acme-data-hub-MODULES</t>
  </si>
  <si>
    <t>acme-data-hub-MODULES-1</t>
  </si>
  <si>
    <t>acme-data-hub-MODULES-2</t>
  </si>
  <si>
    <t>acme-data-hub-MODULES-3</t>
  </si>
  <si>
    <t>acme-data-hub-MODULES-4</t>
  </si>
  <si>
    <t>acme-data-hub-MODULES-5</t>
  </si>
  <si>
    <t>acme-data-hub-MODULES-6</t>
  </si>
  <si>
    <t>acme-data-hub-STAGING</t>
  </si>
  <si>
    <t>acme-data-hub-STAGING-1</t>
  </si>
  <si>
    <t>acme-data-hub-STAGING-2</t>
  </si>
  <si>
    <t>acme-data-hub-STAGING-3</t>
  </si>
  <si>
    <t>acme-data-hub-STAGING-4</t>
  </si>
  <si>
    <t>acme-data-hub-STAGING-5</t>
  </si>
  <si>
    <t>acme-data-hub-STAGING-6</t>
  </si>
  <si>
    <t>acme-data-hub-STAGING-7</t>
  </si>
  <si>
    <t>acme-data-hub-STAGING-8</t>
  </si>
  <si>
    <t>acme-data-hub-STAGING-9</t>
  </si>
  <si>
    <t>acme-data-hub-STAGING-10</t>
  </si>
  <si>
    <t>acme-data-hub-STAGING-11</t>
  </si>
  <si>
    <t>acme-data-hub-STAGING-12</t>
  </si>
  <si>
    <t>acme-data-hub-STAGING-13</t>
  </si>
  <si>
    <t>acme-data-hub-STAGING-14</t>
  </si>
  <si>
    <t>acme-data-hub-STAGING-15</t>
  </si>
  <si>
    <t>acme-data-hub-STAGING-16</t>
  </si>
  <si>
    <t>acme-data-hub-STAGING-17</t>
  </si>
  <si>
    <t>acme-data-hub-STAGING-18</t>
  </si>
  <si>
    <t>acme-data-hub-STAGING-19</t>
  </si>
  <si>
    <t>acme-data-hub-STAGING-20</t>
  </si>
  <si>
    <t>acme-data-hub-STAGING-21</t>
  </si>
  <si>
    <t>acme-data-hub-STAGING-22</t>
  </si>
  <si>
    <t>acme-data-hub-STAGING-23</t>
  </si>
  <si>
    <t>acme-data-hub-STAGING-24</t>
  </si>
  <si>
    <t>acme-data-hub-staging-SCHEMAS</t>
  </si>
  <si>
    <t>acme-data-hub-staging-SCHEMAS-1</t>
  </si>
  <si>
    <t>acme-data-hub-staging-SCHEMAS-2</t>
  </si>
  <si>
    <t>acme-data-hub-staging-SCHEMAS-3</t>
  </si>
  <si>
    <t>acme-data-hub-staging-SCHEMAS-4</t>
  </si>
  <si>
    <t>acme-data-hub-staging-SCHEMAS-5</t>
  </si>
  <si>
    <t>acme-data-hub-staging-SCHEMAS-6</t>
  </si>
  <si>
    <t>acme-data-hub-staging-TRIGGERS</t>
  </si>
  <si>
    <t>acme-data-hub-staging-TRIGGERS-1</t>
  </si>
  <si>
    <t>acme-data-hub-staging-TRIGGERS-2</t>
  </si>
  <si>
    <t>acme-data-hub-staging-TRIGGERS-3</t>
  </si>
  <si>
    <t>acme-data-hub-staging-TRIGGERS-4</t>
  </si>
  <si>
    <t>acme-data-hub-staging-TRIGGERS-5</t>
  </si>
  <si>
    <t>acme-data-hub-staging-TRIGGERS-6</t>
  </si>
  <si>
    <t>acme-data-hub-TEST</t>
  </si>
  <si>
    <t>acme-data-hub-TEST-1</t>
  </si>
  <si>
    <t>acme-data-hub-TEST-2</t>
  </si>
  <si>
    <t>acme-data-hub-TEST-3</t>
  </si>
  <si>
    <t>acme-data-hub-TEST-4</t>
  </si>
  <si>
    <t>acme-data-hub-TEST-5</t>
  </si>
  <si>
    <t>acme-data-hub-TEST-6</t>
  </si>
  <si>
    <t>acme-event</t>
  </si>
  <si>
    <t>acme-event-1</t>
  </si>
  <si>
    <t>acme-event-2</t>
  </si>
  <si>
    <t>acme-event-3</t>
  </si>
  <si>
    <t>acme-event-4</t>
  </si>
  <si>
    <t>acme-event-5</t>
  </si>
  <si>
    <t>acme-event-6</t>
  </si>
  <si>
    <t>The process to run forest-report.xqy, saving that output as CSV, opening in Excel, then copying into the appropriate forest report tab, starting in column B and replacing all forest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</si>
</sst>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dd\ mmm\ yy\,\ hh:mm"/>
    <numFmt numFmtId="166" formatCode="dd\ mmm\ yy"/>
    <numFmt numFmtId="167" formatCode="mmmm\ yyyy"/>
    <numFmt numFmtId="168"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theme="1"/>
      <name val="Calibri"/>
      <family val="2"/>
    </font>
    <font>
      <b/>
      <sz val="10"/>
      <color theme="1"/>
      <name val="Calibri"/>
      <family val="2"/>
      <scheme val="minor"/>
    </font>
    <font>
      <b/>
      <sz val="10"/>
      <color theme="0"/>
      <name val="Calibri"/>
      <family val="2"/>
      <scheme val="minor"/>
    </font>
    <font>
      <b/>
      <i/>
      <sz val="10"/>
      <color theme="1"/>
      <name val="Calibri"/>
      <family val="2"/>
      <scheme val="minor"/>
    </font>
    <font>
      <i/>
      <sz val="10"/>
      <color theme="1"/>
      <name val="Calibri"/>
      <family val="2"/>
      <scheme val="minor"/>
    </font>
    <font>
      <b/>
      <sz val="18"/>
      <color theme="1"/>
      <name val="Calibri"/>
      <family val="2"/>
      <scheme val="minor"/>
    </font>
    <font>
      <b/>
      <vertAlign val="superscript"/>
      <sz val="10"/>
      <color theme="1"/>
      <name val="Calibri"/>
      <family val="2"/>
      <scheme val="minor"/>
    </font>
    <font>
      <vertAlign val="superscript"/>
      <sz val="10"/>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tint="4.9989318521683403E-2"/>
        <bgColor indexed="64"/>
      </patternFill>
    </fill>
    <fill>
      <gradientFill type="path" left="0.5" right="0.5" top="0.5" bottom="0.5">
        <stop position="0">
          <color theme="0"/>
        </stop>
        <stop position="1">
          <color theme="9" tint="0.80001220740379042"/>
        </stop>
      </gradientFill>
    </fill>
  </fills>
  <borders count="9">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7">
    <xf numFmtId="0" fontId="0" fillId="0" borderId="0" xfId="0"/>
    <xf numFmtId="0" fontId="2" fillId="0" borderId="0" xfId="0" applyFont="1" applyAlignment="1">
      <alignment horizontal="center"/>
    </xf>
    <xf numFmtId="2" fontId="0" fillId="0" borderId="0" xfId="0" applyNumberFormat="1"/>
    <xf numFmtId="0" fontId="0" fillId="0" borderId="0" xfId="0" applyAlignment="1">
      <alignment horizontal="right"/>
    </xf>
    <xf numFmtId="0" fontId="3" fillId="0" borderId="0" xfId="0" applyFont="1" applyAlignment="1">
      <alignment vertical="top"/>
    </xf>
    <xf numFmtId="0" fontId="4" fillId="0" borderId="0" xfId="0" quotePrefix="1" applyFont="1" applyAlignment="1">
      <alignment horizontal="center" vertical="top"/>
    </xf>
    <xf numFmtId="0" fontId="3" fillId="2" borderId="0" xfId="0" applyFont="1" applyFill="1" applyAlignment="1">
      <alignment vertical="top"/>
    </xf>
    <xf numFmtId="165" fontId="3" fillId="2" borderId="0" xfId="0" applyNumberFormat="1" applyFont="1" applyFill="1" applyAlignment="1">
      <alignment vertical="top"/>
    </xf>
    <xf numFmtId="43" fontId="3" fillId="0" borderId="0" xfId="1" applyFont="1" applyAlignment="1">
      <alignment vertical="top"/>
    </xf>
    <xf numFmtId="43" fontId="3" fillId="0" borderId="1" xfId="1" applyFont="1" applyBorder="1" applyAlignment="1">
      <alignment vertical="top"/>
    </xf>
    <xf numFmtId="164" fontId="3" fillId="0" borderId="0" xfId="1" applyNumberFormat="1" applyFont="1" applyAlignment="1">
      <alignment vertical="top"/>
    </xf>
    <xf numFmtId="164" fontId="3" fillId="0" borderId="1" xfId="1" applyNumberFormat="1" applyFont="1" applyBorder="1" applyAlignment="1">
      <alignment vertical="top"/>
    </xf>
    <xf numFmtId="164" fontId="3" fillId="0" borderId="0" xfId="0" applyNumberFormat="1" applyFont="1" applyAlignment="1">
      <alignment vertical="top"/>
    </xf>
    <xf numFmtId="0" fontId="6" fillId="4" borderId="0" xfId="0" applyFont="1" applyFill="1" applyAlignment="1">
      <alignment horizontal="center" vertical="center"/>
    </xf>
    <xf numFmtId="0" fontId="6" fillId="4" borderId="0" xfId="0" applyFont="1" applyFill="1" applyAlignment="1">
      <alignment vertical="top"/>
    </xf>
    <xf numFmtId="0" fontId="5" fillId="3" borderId="0" xfId="0" applyFont="1" applyFill="1" applyAlignment="1">
      <alignment vertical="top"/>
    </xf>
    <xf numFmtId="43" fontId="3" fillId="0" borderId="0" xfId="0" applyNumberFormat="1"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3" fontId="3" fillId="0" borderId="0" xfId="0" applyNumberFormat="1" applyFont="1" applyAlignment="1">
      <alignment horizontal="center" vertical="top"/>
    </xf>
    <xf numFmtId="3" fontId="3" fillId="0" borderId="0" xfId="0" applyNumberFormat="1" applyFont="1" applyAlignment="1">
      <alignment horizontal="center" vertical="center"/>
    </xf>
    <xf numFmtId="0" fontId="5" fillId="3" borderId="0" xfId="0" applyFont="1" applyFill="1" applyAlignment="1">
      <alignment horizontal="center" vertical="center"/>
    </xf>
    <xf numFmtId="0" fontId="8" fillId="0" borderId="0" xfId="0" applyFont="1" applyAlignment="1">
      <alignment horizontal="center" vertical="top"/>
    </xf>
    <xf numFmtId="9" fontId="3" fillId="0" borderId="0" xfId="2" applyFont="1" applyAlignment="1">
      <alignment vertical="top"/>
    </xf>
    <xf numFmtId="0" fontId="3" fillId="2" borderId="0" xfId="0" applyFont="1" applyFill="1" applyAlignment="1">
      <alignment horizontal="center" vertical="top"/>
    </xf>
    <xf numFmtId="166" fontId="3" fillId="2" borderId="0" xfId="0" applyNumberFormat="1" applyFont="1" applyFill="1" applyAlignment="1">
      <alignment horizontal="center" vertical="center"/>
    </xf>
    <xf numFmtId="167" fontId="3" fillId="2" borderId="0" xfId="0" applyNumberFormat="1" applyFont="1" applyFill="1" applyAlignment="1">
      <alignment horizontal="center" vertical="center"/>
    </xf>
    <xf numFmtId="0" fontId="3" fillId="2" borderId="0" xfId="0" quotePrefix="1" applyFont="1" applyFill="1" applyAlignment="1">
      <alignment horizontal="center" vertical="top"/>
    </xf>
    <xf numFmtId="0" fontId="3" fillId="2" borderId="0" xfId="0" applyFont="1" applyFill="1" applyAlignment="1">
      <alignment horizontal="left" vertical="top" indent="1"/>
    </xf>
    <xf numFmtId="164" fontId="0" fillId="0" borderId="0" xfId="0" applyNumberFormat="1"/>
    <xf numFmtId="0" fontId="3" fillId="0" borderId="1" xfId="0" applyFont="1" applyBorder="1" applyAlignment="1">
      <alignment vertical="top"/>
    </xf>
    <xf numFmtId="43" fontId="3" fillId="0" borderId="0" xfId="1" applyFont="1" applyBorder="1" applyAlignment="1">
      <alignment vertical="top"/>
    </xf>
    <xf numFmtId="43" fontId="3" fillId="0" borderId="7" xfId="1" applyFont="1" applyBorder="1" applyAlignment="1">
      <alignment vertical="top"/>
    </xf>
    <xf numFmtId="0" fontId="3" fillId="0" borderId="7" xfId="0" applyFont="1" applyBorder="1" applyAlignment="1">
      <alignment vertical="top"/>
    </xf>
    <xf numFmtId="0" fontId="0" fillId="0" borderId="0" xfId="0" applyAlignment="1">
      <alignment horizontal="center"/>
    </xf>
    <xf numFmtId="166" fontId="3" fillId="0" borderId="0" xfId="1" applyNumberFormat="1" applyFont="1" applyBorder="1" applyAlignment="1">
      <alignment vertical="top"/>
    </xf>
    <xf numFmtId="168" fontId="3" fillId="0" borderId="0" xfId="0" applyNumberFormat="1" applyFont="1" applyAlignment="1">
      <alignment horizontal="center" vertical="top"/>
    </xf>
    <xf numFmtId="0" fontId="3" fillId="0" borderId="0" xfId="0" applyFont="1" applyAlignment="1">
      <alignment horizontal="left" vertical="top" indent="1"/>
    </xf>
    <xf numFmtId="0" fontId="8" fillId="0" borderId="0" xfId="0" applyFont="1" applyAlignment="1">
      <alignment horizontal="center" vertical="center"/>
    </xf>
    <xf numFmtId="0" fontId="5" fillId="3" borderId="0" xfId="0" applyFont="1" applyFill="1" applyAlignment="1">
      <alignment horizontal="left" vertical="top"/>
    </xf>
    <xf numFmtId="0" fontId="5" fillId="0" borderId="0" xfId="0" applyFont="1" applyAlignment="1">
      <alignment horizontal="left" vertical="top" wrapText="1"/>
    </xf>
    <xf numFmtId="0" fontId="5" fillId="5" borderId="0" xfId="0" applyFont="1" applyFill="1" applyAlignment="1">
      <alignment horizontal="center" vertical="top"/>
    </xf>
    <xf numFmtId="0" fontId="8" fillId="3" borderId="0" xfId="0" applyFont="1" applyFill="1" applyAlignment="1">
      <alignment horizontal="right" vertical="top"/>
    </xf>
    <xf numFmtId="0" fontId="3" fillId="0" borderId="0" xfId="0" applyFont="1" applyAlignment="1">
      <alignment horizontal="center" vertical="top"/>
    </xf>
    <xf numFmtId="0" fontId="3" fillId="0" borderId="0" xfId="0" applyFont="1" applyAlignment="1">
      <alignment horizontal="left" vertical="top"/>
    </xf>
    <xf numFmtId="0" fontId="3" fillId="0" borderId="0" xfId="0" applyFont="1" applyAlignment="1">
      <alignment horizontal="right" vertical="top"/>
    </xf>
    <xf numFmtId="0" fontId="3" fillId="0" borderId="4" xfId="0" applyFont="1" applyBorder="1" applyAlignment="1">
      <alignment horizontal="right" vertical="top"/>
    </xf>
    <xf numFmtId="0" fontId="3" fillId="0" borderId="6" xfId="0" applyFont="1" applyBorder="1" applyAlignment="1">
      <alignment horizontal="right" vertical="top"/>
    </xf>
    <xf numFmtId="0" fontId="3" fillId="0" borderId="7" xfId="0" applyFont="1" applyBorder="1" applyAlignment="1">
      <alignment horizontal="right" vertical="top"/>
    </xf>
    <xf numFmtId="0" fontId="9" fillId="2" borderId="0" xfId="0" applyFont="1" applyFill="1" applyAlignment="1">
      <alignment horizontal="center" vertical="top"/>
    </xf>
    <xf numFmtId="0" fontId="3" fillId="0" borderId="0" xfId="0" applyFont="1" applyAlignment="1">
      <alignment horizontal="left" vertical="top" wrapText="1"/>
    </xf>
    <xf numFmtId="0" fontId="3" fillId="2" borderId="0" xfId="0" applyFont="1" applyFill="1" applyAlignment="1">
      <alignment horizontal="left" vertical="center"/>
    </xf>
    <xf numFmtId="0" fontId="3" fillId="2" borderId="0" xfId="0" applyFont="1" applyFill="1" applyAlignment="1">
      <alignment horizontal="right" vertical="top"/>
    </xf>
    <xf numFmtId="0" fontId="3" fillId="0" borderId="0" xfId="0" applyFont="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2" xfId="0" applyFont="1" applyBorder="1" applyAlignment="1">
      <alignment horizontal="right" vertical="top" wrapText="1"/>
    </xf>
    <xf numFmtId="0" fontId="3" fillId="0" borderId="1" xfId="0" applyFont="1" applyBorder="1" applyAlignment="1">
      <alignment horizontal="right" vertical="top" wrapText="1"/>
    </xf>
    <xf numFmtId="0" fontId="3" fillId="0" borderId="4" xfId="0" applyFont="1" applyBorder="1" applyAlignment="1">
      <alignment horizontal="right" vertical="top" wrapText="1"/>
    </xf>
    <xf numFmtId="0" fontId="3" fillId="0" borderId="0" xfId="0" applyFont="1" applyAlignment="1">
      <alignment horizontal="right" vertical="top" wrapText="1"/>
    </xf>
    <xf numFmtId="0" fontId="5" fillId="2" borderId="0" xfId="0" applyFont="1" applyFill="1" applyAlignment="1">
      <alignment horizontal="left" vertical="top"/>
    </xf>
    <xf numFmtId="0" fontId="6" fillId="4" borderId="0" xfId="0" applyFont="1" applyFill="1" applyAlignment="1">
      <alignment horizontal="left" vertical="center" wrapText="1"/>
    </xf>
    <xf numFmtId="0" fontId="6" fillId="4" borderId="0" xfId="0" applyFont="1" applyFill="1" applyAlignment="1">
      <alignment horizontal="right" vertical="center"/>
    </xf>
  </cellXfs>
  <cellStyles count="3">
    <cellStyle name="Comma" xfId="1" builtinId="3"/>
    <cellStyle name="Normal" xfId="0" builtinId="0"/>
    <cellStyle name="Percent" xfId="2" builtinId="5"/>
  </cellStyles>
  <dxfs count="42">
    <dxf>
      <fill>
        <patternFill>
          <bgColor rgb="FFFFFFCC"/>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rgb="FFFFFFCC"/>
        </patternFill>
      </fill>
    </dxf>
    <dxf>
      <fill>
        <patternFill>
          <bgColor rgb="FFFF9999"/>
        </patternFill>
      </fill>
    </dxf>
    <dxf>
      <fill>
        <patternFill>
          <bgColor theme="9" tint="0.79998168889431442"/>
        </patternFill>
      </fill>
    </dxf>
    <dxf>
      <fill>
        <patternFill>
          <bgColor rgb="FFFF9999"/>
        </patternFill>
      </fill>
    </dxf>
    <dxf>
      <fill>
        <patternFill>
          <bgColor theme="9" tint="0.79998168889431442"/>
        </patternFill>
      </fill>
    </dxf>
    <dxf>
      <fill>
        <patternFill>
          <bgColor rgb="FFFF9999"/>
        </patternFill>
      </fill>
    </dxf>
    <dxf>
      <fill>
        <patternFill>
          <bgColor theme="9" tint="0.79998168889431442"/>
        </patternFill>
      </fill>
    </dxf>
    <dxf>
      <fill>
        <patternFill>
          <bgColor rgb="FFFF9999"/>
        </patternFill>
      </fill>
    </dxf>
    <dxf>
      <fill>
        <patternFill>
          <bgColor theme="9" tint="0.79998168889431442"/>
        </patternFill>
      </fill>
    </dxf>
    <dxf>
      <fill>
        <patternFill>
          <bgColor rgb="FFFFFFCC"/>
        </patternFill>
      </fill>
    </dxf>
    <dxf>
      <fill>
        <patternFill>
          <bgColor rgb="FFFFFFCC"/>
        </patternFill>
      </fill>
    </dxf>
    <dxf>
      <font>
        <b/>
        <i val="0"/>
        <color theme="0"/>
      </font>
      <fill>
        <patternFill>
          <bgColor rgb="FFFF0000"/>
        </patternFill>
      </fill>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FF9999"/>
      <color rgb="FFFFFF66"/>
      <color rgb="FFFFFF99"/>
      <color rgb="FFFF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8" totalsRowCount="1" headerRowDxfId="41">
  <autoFilter ref="A1:L107" xr:uid="{00000000-0009-0000-0100-000001000000}"/>
  <tableColumns count="12">
    <tableColumn id="11" xr3:uid="{00000000-0010-0000-0000-00000B000000}" name="Order" dataDxfId="40" totalsRowDxfId="39"/>
    <tableColumn id="1" xr3:uid="{00000000-0010-0000-0000-000001000000}" name="Database"/>
    <tableColumn id="2" xr3:uid="{00000000-0010-0000-0000-000002000000}" name="Forest" totalsRowLabel="Filtered" totalsRowDxfId="38"/>
    <tableColumn id="3" xr3:uid="{00000000-0010-0000-0000-000003000000}" name="Host ID" totalsRowFunction="count"/>
    <tableColumn id="4" xr3:uid="{00000000-0010-0000-0000-000004000000}" name="Data Dir"/>
    <tableColumn id="5" xr3:uid="{00000000-0010-0000-0000-000005000000}" name="Device Space (MB)" totalsRowLabel="MB" totalsRowDxfId="37"/>
    <tableColumn id="6" xr3:uid="{00000000-0010-0000-0000-000006000000}" name="Forest Size (MB)" totalsRowFunction="sum" totalsRowDxfId="36"/>
    <tableColumn id="12" xr3:uid="{00000000-0010-0000-0000-00000C000000}" name="Replicated (MB)" totalsRowFunction="sum" totalsRowDxfId="35"/>
    <tableColumn id="7" xr3:uid="{00000000-0010-0000-0000-000007000000}" name="Forest Reserve (MB)" totalsRowFunction="sum" totalsRowDxfId="34"/>
    <tableColumn id="8" xr3:uid="{00000000-0010-0000-0000-000008000000}" name="Large Data (MB)" totalsRowFunction="sum" totalsRowDxfId="33" dataCellStyle="Comma"/>
    <tableColumn id="9" xr3:uid="{00000000-0010-0000-0000-000009000000}" name="Journals (MB)" totalsRowFunction="sum" totalsRowDxfId="32" dataCellStyle="Comma"/>
    <tableColumn id="10" xr3:uid="{00000000-0010-0000-0000-00000A000000}" name="Doc Count" totalsRowFunction="sum" totalsRowDxfId="3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L108" totalsRowCount="1" headerRowDxfId="30">
  <autoFilter ref="A1:L107" xr:uid="{00000000-0009-0000-0100-000002000000}"/>
  <tableColumns count="12">
    <tableColumn id="11" xr3:uid="{00000000-0010-0000-0100-00000B000000}" name="Order" dataDxfId="29" totalsRowDxfId="28"/>
    <tableColumn id="1" xr3:uid="{00000000-0010-0000-0100-000001000000}" name="Database"/>
    <tableColumn id="2" xr3:uid="{00000000-0010-0000-0100-000002000000}" name="Forest" totalsRowLabel="Filtered" totalsRowDxfId="27"/>
    <tableColumn id="3" xr3:uid="{00000000-0010-0000-0100-000003000000}" name="Host ID" totalsRowFunction="count"/>
    <tableColumn id="4" xr3:uid="{00000000-0010-0000-0100-000004000000}" name="Data Dir"/>
    <tableColumn id="5" xr3:uid="{00000000-0010-0000-0100-000005000000}" name="Device Space (MB)" totalsRowLabel="MB" totalsRowDxfId="26"/>
    <tableColumn id="6" xr3:uid="{00000000-0010-0000-0100-000006000000}" name="Forest Size (MB)" totalsRowFunction="sum" totalsRowDxfId="25"/>
    <tableColumn id="12" xr3:uid="{00000000-0010-0000-0100-00000C000000}" name="Replicated (MB)" totalsRowFunction="sum" totalsRowDxfId="24"/>
    <tableColumn id="7" xr3:uid="{00000000-0010-0000-0100-000007000000}" name="Forest Reserve (MB)" totalsRowFunction="sum" totalsRowDxfId="23"/>
    <tableColumn id="8" xr3:uid="{00000000-0010-0000-0100-000008000000}" name="Large Date (MB)" totalsRowFunction="sum" totalsRowDxfId="22" dataCellStyle="Comma"/>
    <tableColumn id="9" xr3:uid="{00000000-0010-0000-0100-000009000000}" name="Journals (MB)" totalsRowFunction="sum" totalsRowDxfId="21" dataCellStyle="Comma"/>
    <tableColumn id="10" xr3:uid="{00000000-0010-0000-0100-00000A000000}" name="Doc Count" totalsRowFunction="sum" totalsRowDxfId="2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
  <sheetViews>
    <sheetView tabSelected="1" zoomScale="130" zoomScaleNormal="130" workbookViewId="0">
      <selection sqref="A1:F1"/>
    </sheetView>
  </sheetViews>
  <sheetFormatPr defaultColWidth="9.15234375" defaultRowHeight="12.9" x14ac:dyDescent="0.4"/>
  <cols>
    <col min="1" max="1" width="6.3828125" style="4" customWidth="1"/>
    <col min="2" max="2" width="24.3046875" style="4" customWidth="1"/>
    <col min="3" max="3" width="16.3828125" style="4" customWidth="1"/>
    <col min="4" max="4" width="5.15234375" style="4" bestFit="1" customWidth="1"/>
    <col min="5" max="6" width="24.69140625" style="4" customWidth="1"/>
    <col min="7" max="7" width="2.69140625" style="4" bestFit="1" customWidth="1"/>
    <col min="8" max="8" width="9.15234375" style="4"/>
    <col min="9" max="9" width="3.15234375" style="4" bestFit="1" customWidth="1"/>
    <col min="10" max="10" width="48.84375" style="4" customWidth="1"/>
    <col min="11" max="11" width="9.15234375" style="4"/>
    <col min="12" max="12" width="3.15234375" style="4" bestFit="1" customWidth="1"/>
    <col min="13" max="13" width="9.15234375" style="37"/>
    <col min="14" max="16384" width="9.15234375" style="4"/>
  </cols>
  <sheetData>
    <row r="1" spans="1:6" ht="23.15" x14ac:dyDescent="0.4">
      <c r="A1" s="49" t="s">
        <v>124</v>
      </c>
      <c r="B1" s="49"/>
      <c r="C1" s="49"/>
      <c r="D1" s="49"/>
      <c r="E1" s="49"/>
      <c r="F1" s="49"/>
    </row>
    <row r="2" spans="1:6" x14ac:dyDescent="0.4">
      <c r="A2" s="64" t="s">
        <v>43</v>
      </c>
      <c r="B2" s="64"/>
      <c r="C2" s="64"/>
      <c r="D2" s="64"/>
      <c r="E2" s="64"/>
      <c r="F2" s="64"/>
    </row>
    <row r="3" spans="1:6" ht="30" customHeight="1" x14ac:dyDescent="0.4">
      <c r="A3" s="5" t="s">
        <v>37</v>
      </c>
      <c r="B3" s="50" t="s">
        <v>249</v>
      </c>
      <c r="C3" s="50"/>
      <c r="D3" s="50"/>
      <c r="E3" s="50"/>
      <c r="F3" s="50"/>
    </row>
    <row r="4" spans="1:6" ht="41.25" customHeight="1" x14ac:dyDescent="0.4">
      <c r="A4" s="5" t="s">
        <v>37</v>
      </c>
      <c r="B4" s="50" t="s">
        <v>88</v>
      </c>
      <c r="C4" s="50"/>
      <c r="D4" s="50"/>
      <c r="E4" s="50"/>
      <c r="F4" s="50"/>
    </row>
    <row r="5" spans="1:6" ht="15" customHeight="1" x14ac:dyDescent="0.4">
      <c r="A5" s="5" t="s">
        <v>37</v>
      </c>
      <c r="B5" s="50" t="s">
        <v>79</v>
      </c>
      <c r="C5" s="50"/>
      <c r="D5" s="50"/>
      <c r="E5" s="50"/>
      <c r="F5" s="50"/>
    </row>
    <row r="6" spans="1:6" ht="30" customHeight="1" x14ac:dyDescent="0.4">
      <c r="A6" s="5" t="s">
        <v>37</v>
      </c>
      <c r="B6" s="50" t="s">
        <v>58</v>
      </c>
      <c r="C6" s="50"/>
      <c r="D6" s="50"/>
      <c r="E6" s="50"/>
      <c r="F6" s="50"/>
    </row>
    <row r="7" spans="1:6" ht="30" customHeight="1" x14ac:dyDescent="0.4">
      <c r="A7" s="5" t="s">
        <v>37</v>
      </c>
      <c r="B7" s="50" t="s">
        <v>85</v>
      </c>
      <c r="C7" s="50"/>
      <c r="D7" s="50"/>
      <c r="E7" s="50"/>
      <c r="F7" s="50"/>
    </row>
    <row r="8" spans="1:6" ht="41.25" customHeight="1" x14ac:dyDescent="0.4">
      <c r="A8" s="5" t="s">
        <v>37</v>
      </c>
      <c r="B8" s="50" t="s">
        <v>87</v>
      </c>
      <c r="C8" s="50"/>
      <c r="D8" s="50"/>
      <c r="E8" s="50"/>
      <c r="F8" s="50"/>
    </row>
    <row r="9" spans="1:6" ht="41.25" customHeight="1" x14ac:dyDescent="0.4">
      <c r="A9" s="5" t="s">
        <v>37</v>
      </c>
      <c r="B9" s="50" t="s">
        <v>22</v>
      </c>
      <c r="C9" s="50"/>
      <c r="D9" s="50"/>
      <c r="E9" s="50"/>
      <c r="F9" s="50"/>
    </row>
    <row r="10" spans="1:6" ht="15" customHeight="1" x14ac:dyDescent="0.4">
      <c r="A10" s="5" t="s">
        <v>37</v>
      </c>
      <c r="B10" s="50" t="s">
        <v>31</v>
      </c>
      <c r="C10" s="50"/>
      <c r="D10" s="50"/>
      <c r="E10" s="50"/>
      <c r="F10" s="50"/>
    </row>
    <row r="11" spans="1:6" ht="29.25" customHeight="1" x14ac:dyDescent="0.4">
      <c r="A11" s="5" t="s">
        <v>37</v>
      </c>
      <c r="B11" s="50" t="s">
        <v>86</v>
      </c>
      <c r="C11" s="50"/>
      <c r="D11" s="50"/>
      <c r="E11" s="50"/>
      <c r="F11" s="50"/>
    </row>
    <row r="12" spans="1:6" ht="15" customHeight="1" x14ac:dyDescent="0.4">
      <c r="A12" s="5" t="s">
        <v>37</v>
      </c>
      <c r="B12" s="50" t="s">
        <v>35</v>
      </c>
      <c r="C12" s="50"/>
      <c r="D12" s="50"/>
      <c r="E12" s="50"/>
      <c r="F12" s="50"/>
    </row>
    <row r="13" spans="1:6" ht="15" customHeight="1" x14ac:dyDescent="0.4">
      <c r="A13" s="5" t="s">
        <v>37</v>
      </c>
      <c r="B13" s="50" t="s">
        <v>132</v>
      </c>
      <c r="C13" s="50"/>
      <c r="D13" s="50"/>
      <c r="E13" s="50"/>
      <c r="F13" s="50"/>
    </row>
    <row r="14" spans="1:6" ht="30" customHeight="1" x14ac:dyDescent="0.4">
      <c r="A14" s="5" t="s">
        <v>37</v>
      </c>
      <c r="B14" s="50" t="s">
        <v>40</v>
      </c>
      <c r="C14" s="50"/>
      <c r="D14" s="50"/>
      <c r="E14" s="50"/>
      <c r="F14" s="50"/>
    </row>
    <row r="15" spans="1:6" x14ac:dyDescent="0.4">
      <c r="A15" s="43"/>
      <c r="B15" s="43"/>
      <c r="C15" s="43"/>
      <c r="D15" s="43"/>
      <c r="E15" s="43"/>
      <c r="F15" s="43"/>
    </row>
    <row r="16" spans="1:6" ht="25.5" customHeight="1" x14ac:dyDescent="0.4">
      <c r="A16" s="66" t="s">
        <v>33</v>
      </c>
      <c r="B16" s="66"/>
      <c r="C16" s="13">
        <f>Table2[[#Totals],[Host ID]]-Table1[[#Totals],[Host ID]]</f>
        <v>0</v>
      </c>
      <c r="D16" s="14"/>
      <c r="E16" s="65" t="s">
        <v>34</v>
      </c>
      <c r="F16" s="65"/>
    </row>
    <row r="17" spans="1:7" x14ac:dyDescent="0.4">
      <c r="A17" s="43"/>
      <c r="B17" s="43"/>
      <c r="C17" s="43"/>
      <c r="D17" s="43"/>
      <c r="E17" s="43"/>
      <c r="F17" s="43"/>
    </row>
    <row r="18" spans="1:7" x14ac:dyDescent="0.4">
      <c r="A18" s="52" t="s">
        <v>28</v>
      </c>
      <c r="B18" s="52"/>
      <c r="C18" s="28" t="s">
        <v>29</v>
      </c>
      <c r="D18" s="6"/>
      <c r="E18" s="51"/>
      <c r="F18" s="51"/>
    </row>
    <row r="19" spans="1:7" x14ac:dyDescent="0.4">
      <c r="A19" s="52" t="s">
        <v>24</v>
      </c>
      <c r="B19" s="52"/>
      <c r="C19" s="7">
        <v>44474.645833333336</v>
      </c>
      <c r="D19" s="6"/>
      <c r="E19" s="51" t="s">
        <v>78</v>
      </c>
      <c r="F19" s="51"/>
    </row>
    <row r="20" spans="1:7" x14ac:dyDescent="0.4">
      <c r="A20" s="52" t="s">
        <v>23</v>
      </c>
      <c r="B20" s="52"/>
      <c r="C20" s="7">
        <v>44483.520833333336</v>
      </c>
      <c r="D20" s="6"/>
      <c r="E20" s="51" t="s">
        <v>77</v>
      </c>
      <c r="F20" s="51"/>
    </row>
    <row r="21" spans="1:7" x14ac:dyDescent="0.4">
      <c r="A21" s="52" t="s">
        <v>66</v>
      </c>
      <c r="B21" s="52"/>
      <c r="C21" s="24">
        <v>12</v>
      </c>
      <c r="D21" s="27" t="s">
        <v>75</v>
      </c>
      <c r="E21" s="26">
        <f>C20+(C21*365/12)</f>
        <v>44848.520833333336</v>
      </c>
      <c r="F21" s="25" t="s">
        <v>76</v>
      </c>
    </row>
    <row r="22" spans="1:7" x14ac:dyDescent="0.4">
      <c r="A22" s="52" t="s">
        <v>38</v>
      </c>
      <c r="B22" s="52"/>
      <c r="C22" s="24">
        <v>6</v>
      </c>
      <c r="D22" s="6"/>
      <c r="E22" s="51"/>
      <c r="F22" s="51"/>
    </row>
    <row r="23" spans="1:7" x14ac:dyDescent="0.4">
      <c r="A23" s="52" t="s">
        <v>39</v>
      </c>
      <c r="B23" s="52"/>
      <c r="C23" s="24">
        <v>1</v>
      </c>
      <c r="D23" s="6"/>
      <c r="E23" s="51" t="s">
        <v>126</v>
      </c>
      <c r="F23" s="51"/>
    </row>
    <row r="24" spans="1:7" x14ac:dyDescent="0.4">
      <c r="A24" s="52" t="s">
        <v>127</v>
      </c>
      <c r="B24" s="52"/>
      <c r="C24" s="24">
        <v>256</v>
      </c>
      <c r="D24" s="24" t="s">
        <v>16</v>
      </c>
      <c r="E24" s="51"/>
      <c r="F24" s="51"/>
    </row>
    <row r="25" spans="1:7" x14ac:dyDescent="0.4">
      <c r="A25" s="45" t="s">
        <v>32</v>
      </c>
      <c r="B25" s="45"/>
      <c r="C25" s="36">
        <f>C20-C19</f>
        <v>8.875</v>
      </c>
      <c r="E25" s="53" t="s">
        <v>125</v>
      </c>
      <c r="F25" s="53"/>
    </row>
    <row r="26" spans="1:7" x14ac:dyDescent="0.4">
      <c r="A26" s="43"/>
      <c r="B26" s="43"/>
      <c r="C26" s="43"/>
      <c r="D26" s="43"/>
      <c r="E26" s="43"/>
      <c r="F26" s="43"/>
    </row>
    <row r="27" spans="1:7" ht="14.15" x14ac:dyDescent="0.4">
      <c r="A27" s="15" t="s">
        <v>45</v>
      </c>
      <c r="B27" s="15"/>
      <c r="C27" s="21" t="s">
        <v>138</v>
      </c>
      <c r="D27" s="21"/>
      <c r="E27" s="21" t="s">
        <v>46</v>
      </c>
      <c r="F27" s="21" t="s">
        <v>139</v>
      </c>
    </row>
    <row r="28" spans="1:7" x14ac:dyDescent="0.4">
      <c r="A28" s="45" t="s">
        <v>89</v>
      </c>
      <c r="B28" s="45"/>
      <c r="C28" s="17">
        <v>100</v>
      </c>
      <c r="D28" s="17" t="s">
        <v>16</v>
      </c>
      <c r="E28" s="18">
        <v>150</v>
      </c>
      <c r="F28" s="17">
        <f>ROUNDUP(C38/$C$83,0)</f>
        <v>91</v>
      </c>
    </row>
    <row r="29" spans="1:7" x14ac:dyDescent="0.4">
      <c r="A29" s="45" t="s">
        <v>90</v>
      </c>
      <c r="B29" s="45"/>
      <c r="C29" s="19">
        <v>8000000</v>
      </c>
      <c r="D29" s="17"/>
      <c r="E29" s="20">
        <v>32000000</v>
      </c>
      <c r="F29" s="19">
        <f>ROUNDUP(C67/$C$83,0)</f>
        <v>30670760</v>
      </c>
      <c r="G29" s="16"/>
    </row>
    <row r="30" spans="1:7" x14ac:dyDescent="0.4">
      <c r="A30" s="45" t="s">
        <v>60</v>
      </c>
      <c r="B30" s="45"/>
      <c r="C30" s="17">
        <v>20</v>
      </c>
      <c r="D30" s="4" t="s">
        <v>61</v>
      </c>
      <c r="E30" s="18">
        <v>40</v>
      </c>
      <c r="F30" s="22" t="s">
        <v>62</v>
      </c>
      <c r="G30" s="16"/>
    </row>
    <row r="31" spans="1:7" x14ac:dyDescent="0.4">
      <c r="A31" s="45" t="s">
        <v>63</v>
      </c>
      <c r="B31" s="45"/>
      <c r="C31" s="17">
        <v>20</v>
      </c>
      <c r="D31" s="4" t="s">
        <v>61</v>
      </c>
      <c r="E31" s="18">
        <v>40</v>
      </c>
      <c r="F31" s="22" t="s">
        <v>62</v>
      </c>
    </row>
    <row r="32" spans="1:7" ht="17.25" customHeight="1" x14ac:dyDescent="0.4">
      <c r="A32" s="45" t="s">
        <v>137</v>
      </c>
      <c r="B32" s="45"/>
      <c r="C32" s="18">
        <v>1</v>
      </c>
      <c r="D32" s="18"/>
      <c r="E32" s="18">
        <v>1</v>
      </c>
      <c r="F32" s="38" t="s">
        <v>131</v>
      </c>
    </row>
    <row r="33" spans="1:6" ht="30" customHeight="1" x14ac:dyDescent="0.4">
      <c r="A33" s="50" t="s">
        <v>134</v>
      </c>
      <c r="B33" s="50"/>
      <c r="C33" s="50"/>
      <c r="D33" s="50"/>
      <c r="E33" s="50"/>
      <c r="F33" s="50"/>
    </row>
    <row r="34" spans="1:6" ht="30" customHeight="1" x14ac:dyDescent="0.4">
      <c r="A34" s="50" t="s">
        <v>135</v>
      </c>
      <c r="B34" s="50"/>
      <c r="C34" s="50"/>
      <c r="D34" s="50"/>
      <c r="E34" s="50"/>
      <c r="F34" s="50"/>
    </row>
    <row r="35" spans="1:6" ht="30" customHeight="1" x14ac:dyDescent="0.4">
      <c r="A35" s="50" t="s">
        <v>136</v>
      </c>
      <c r="B35" s="50"/>
      <c r="C35" s="50"/>
      <c r="D35" s="50"/>
      <c r="E35" s="50"/>
      <c r="F35" s="50"/>
    </row>
    <row r="36" spans="1:6" x14ac:dyDescent="0.4">
      <c r="A36" s="43"/>
      <c r="B36" s="43"/>
      <c r="C36" s="43"/>
      <c r="D36" s="43"/>
      <c r="E36" s="43"/>
      <c r="F36" s="43"/>
    </row>
    <row r="37" spans="1:6" x14ac:dyDescent="0.4">
      <c r="A37" s="39" t="s">
        <v>41</v>
      </c>
      <c r="B37" s="39"/>
      <c r="C37" s="41" t="str">
        <f>IF($C$16&lt;&gt;0, "FILTERING ERROR", IF('Ending Forest Report'!$D$108='Ending Forest Report'!$D$109,"ALL FORESTS",CONCATENATE('Ending Forest Report'!$D$108, " of ",'Ending Forest Report'!$D$109, " FORESTS")))</f>
        <v>ALL FORESTS</v>
      </c>
      <c r="D37" s="41"/>
      <c r="E37" s="42" t="s">
        <v>97</v>
      </c>
      <c r="F37" s="42"/>
    </row>
    <row r="38" spans="1:6" x14ac:dyDescent="0.4">
      <c r="A38" s="45" t="s">
        <v>91</v>
      </c>
      <c r="B38" s="45"/>
      <c r="C38" s="8">
        <f>'Ending Forest Report'!G109</f>
        <v>9643.0078125</v>
      </c>
      <c r="D38" s="4" t="s">
        <v>16</v>
      </c>
      <c r="E38" s="44" t="str">
        <f>CONCATENATE("or ", ROUND(C38/1024,2), " TB")</f>
        <v>or 9.42 TB</v>
      </c>
      <c r="F38" s="44"/>
    </row>
    <row r="39" spans="1:6" x14ac:dyDescent="0.4">
      <c r="A39" s="45" t="s">
        <v>92</v>
      </c>
      <c r="B39" s="45"/>
      <c r="C39" s="8">
        <f>'Starting Forest Report'!G109</f>
        <v>9478.2451171875</v>
      </c>
      <c r="D39" s="4" t="s">
        <v>16</v>
      </c>
      <c r="E39" s="44" t="str">
        <f>CONCATENATE("or ", ROUND(C39/1024,2), " TB")</f>
        <v>or 9.26 TB</v>
      </c>
      <c r="F39" s="44"/>
    </row>
    <row r="40" spans="1:6" x14ac:dyDescent="0.4">
      <c r="A40" s="45" t="s">
        <v>93</v>
      </c>
      <c r="B40" s="45"/>
      <c r="C40" s="9">
        <f>C38-C39</f>
        <v>164.7626953125</v>
      </c>
      <c r="D40" s="4" t="s">
        <v>16</v>
      </c>
      <c r="E40" s="44"/>
      <c r="F40" s="44"/>
    </row>
    <row r="41" spans="1:6" ht="25.5" customHeight="1" x14ac:dyDescent="0.4">
      <c r="A41" s="45" t="s">
        <v>114</v>
      </c>
      <c r="B41" s="45"/>
      <c r="C41" s="8">
        <f>C40/C25</f>
        <v>18.56481073943662</v>
      </c>
      <c r="D41" s="4" t="s">
        <v>16</v>
      </c>
      <c r="E41" s="50" t="s">
        <v>142</v>
      </c>
      <c r="F41" s="50"/>
    </row>
    <row r="42" spans="1:6" x14ac:dyDescent="0.4">
      <c r="A42" s="45" t="s">
        <v>94</v>
      </c>
      <c r="B42" s="45"/>
      <c r="C42" s="8">
        <f>C41*$C$21*(365/12)</f>
        <v>6776.155919894366</v>
      </c>
      <c r="D42" s="4" t="s">
        <v>16</v>
      </c>
      <c r="E42" s="44" t="str">
        <f>CONCATENATE("or ", ROUND(C42/1024,2), " TB")</f>
        <v>or 6.62 TB</v>
      </c>
      <c r="F42" s="44"/>
    </row>
    <row r="43" spans="1:6" x14ac:dyDescent="0.4">
      <c r="A43" s="45" t="s">
        <v>119</v>
      </c>
      <c r="B43" s="45"/>
      <c r="C43" s="8">
        <f>'Ending Forest Report'!H109</f>
        <v>8.8837890625</v>
      </c>
      <c r="D43" s="4" t="s">
        <v>16</v>
      </c>
      <c r="E43" s="44"/>
      <c r="F43" s="44"/>
    </row>
    <row r="44" spans="1:6" x14ac:dyDescent="0.4">
      <c r="A44" s="45" t="s">
        <v>120</v>
      </c>
      <c r="B44" s="45"/>
      <c r="C44" s="8">
        <f>('Ending Forest Report'!H109-'Starting Forest Report'!H109)/$C$25</f>
        <v>-0.18716989436619719</v>
      </c>
      <c r="D44" s="4" t="s">
        <v>16</v>
      </c>
      <c r="E44" s="50" t="s">
        <v>123</v>
      </c>
      <c r="F44" s="50"/>
    </row>
    <row r="45" spans="1:6" x14ac:dyDescent="0.4">
      <c r="A45" s="45" t="s">
        <v>122</v>
      </c>
      <c r="B45" s="45"/>
      <c r="C45" s="8">
        <f>C44*(365/12)</f>
        <v>-5.693084286971831</v>
      </c>
      <c r="D45" s="4" t="s">
        <v>16</v>
      </c>
      <c r="E45" s="50"/>
      <c r="F45" s="50"/>
    </row>
    <row r="46" spans="1:6" x14ac:dyDescent="0.4">
      <c r="A46" s="45" t="s">
        <v>103</v>
      </c>
      <c r="B46" s="45"/>
      <c r="C46" s="8">
        <f>'Ending Forest Report'!J109</f>
        <v>0</v>
      </c>
      <c r="D46" s="4" t="s">
        <v>16</v>
      </c>
      <c r="E46" s="44"/>
      <c r="F46" s="44"/>
    </row>
    <row r="47" spans="1:6" x14ac:dyDescent="0.4">
      <c r="A47" s="45" t="s">
        <v>113</v>
      </c>
      <c r="B47" s="45"/>
      <c r="C47" s="8">
        <f>('Ending Forest Report'!J109-'Starting Forest Report'!J109)/$C$25</f>
        <v>0</v>
      </c>
      <c r="D47" s="4" t="s">
        <v>16</v>
      </c>
      <c r="E47" s="44" t="s">
        <v>121</v>
      </c>
      <c r="F47" s="44"/>
    </row>
    <row r="48" spans="1:6" x14ac:dyDescent="0.4">
      <c r="A48" s="45" t="s">
        <v>102</v>
      </c>
      <c r="B48" s="45"/>
      <c r="C48" s="8">
        <f>C47*$C$21*(365/12)</f>
        <v>0</v>
      </c>
      <c r="D48" s="4" t="s">
        <v>16</v>
      </c>
      <c r="E48" s="44" t="s">
        <v>121</v>
      </c>
      <c r="F48" s="44"/>
    </row>
    <row r="49" spans="1:6" x14ac:dyDescent="0.4">
      <c r="A49" s="45" t="s">
        <v>104</v>
      </c>
      <c r="B49" s="45"/>
      <c r="C49" s="8">
        <f>'Ending Forest Report'!K109*1.5</f>
        <v>170.82421875</v>
      </c>
      <c r="D49" s="4" t="s">
        <v>16</v>
      </c>
      <c r="E49" s="44" t="s">
        <v>121</v>
      </c>
      <c r="F49" s="44"/>
    </row>
    <row r="50" spans="1:6" ht="12.75" customHeight="1" x14ac:dyDescent="0.4">
      <c r="A50" s="45" t="s">
        <v>129</v>
      </c>
      <c r="B50" s="45"/>
      <c r="C50" s="8">
        <f>'Ending Forest Report'!I109*E32</f>
        <v>5478.1875</v>
      </c>
      <c r="D50" s="4" t="s">
        <v>16</v>
      </c>
      <c r="E50" s="44" t="s">
        <v>130</v>
      </c>
      <c r="F50" s="44"/>
    </row>
    <row r="51" spans="1:6" ht="12.75" customHeight="1" x14ac:dyDescent="0.4">
      <c r="A51" s="45" t="s">
        <v>128</v>
      </c>
      <c r="B51" s="45"/>
      <c r="C51" s="8">
        <f>C22*C23*C24</f>
        <v>1536</v>
      </c>
      <c r="D51" s="4" t="s">
        <v>16</v>
      </c>
      <c r="E51" s="44"/>
      <c r="F51" s="44"/>
    </row>
    <row r="52" spans="1:6" x14ac:dyDescent="0.4">
      <c r="A52" s="60" t="s">
        <v>133</v>
      </c>
      <c r="B52" s="61"/>
      <c r="C52" s="9">
        <f>C38+C42+C45+SUM(C48:C51)</f>
        <v>23598.482366857392</v>
      </c>
      <c r="D52" s="30" t="s">
        <v>16</v>
      </c>
      <c r="E52" s="54" t="s">
        <v>105</v>
      </c>
      <c r="F52" s="55"/>
    </row>
    <row r="53" spans="1:6" x14ac:dyDescent="0.4">
      <c r="A53" s="62"/>
      <c r="B53" s="63"/>
      <c r="C53" s="31">
        <f>C52/1024</f>
        <v>23.045392936384172</v>
      </c>
      <c r="D53" s="4" t="s">
        <v>15</v>
      </c>
      <c r="E53" s="56"/>
      <c r="F53" s="57"/>
    </row>
    <row r="54" spans="1:6" x14ac:dyDescent="0.4">
      <c r="A54" s="46" t="s">
        <v>106</v>
      </c>
      <c r="B54" s="45"/>
      <c r="C54" s="31">
        <f>C52/C22/C23</f>
        <v>3933.080394476232</v>
      </c>
      <c r="D54" s="4" t="s">
        <v>16</v>
      </c>
      <c r="E54" s="56"/>
      <c r="F54" s="57"/>
    </row>
    <row r="55" spans="1:6" x14ac:dyDescent="0.4">
      <c r="A55" s="47"/>
      <c r="B55" s="48"/>
      <c r="C55" s="32">
        <f>C54/1024</f>
        <v>3.8408988227306953</v>
      </c>
      <c r="D55" s="33" t="s">
        <v>15</v>
      </c>
      <c r="E55" s="58"/>
      <c r="F55" s="59"/>
    </row>
    <row r="56" spans="1:6" x14ac:dyDescent="0.4">
      <c r="A56" s="45" t="s">
        <v>95</v>
      </c>
      <c r="B56" s="45"/>
      <c r="C56" s="23">
        <f>C42/C38</f>
        <v>0.7027014860561035</v>
      </c>
      <c r="E56" s="44"/>
      <c r="F56" s="44"/>
    </row>
    <row r="57" spans="1:6" x14ac:dyDescent="0.4">
      <c r="A57" s="45" t="s">
        <v>96</v>
      </c>
      <c r="B57" s="45"/>
      <c r="C57" s="23">
        <f>C42/$C$21*12/C38</f>
        <v>0.70270148605610339</v>
      </c>
      <c r="E57" s="44"/>
      <c r="F57" s="44"/>
    </row>
    <row r="58" spans="1:6" x14ac:dyDescent="0.4">
      <c r="A58" s="43"/>
      <c r="B58" s="43"/>
      <c r="C58" s="43"/>
      <c r="D58" s="43"/>
      <c r="E58" s="43"/>
      <c r="F58" s="43"/>
    </row>
    <row r="59" spans="1:6" x14ac:dyDescent="0.4">
      <c r="A59" s="39" t="s">
        <v>107</v>
      </c>
      <c r="B59" s="39"/>
      <c r="C59" s="41" t="str">
        <f>IF($C$16&lt;&gt;0, "FILTERING ERROR", IF('Ending Forest Report'!$D$108='Ending Forest Report'!$D$109,"ALL FORESTS",CONCATENATE('Ending Forest Report'!$D$108, " of ",'Ending Forest Report'!$D$109, " FORESTS")))</f>
        <v>ALL FORESTS</v>
      </c>
      <c r="D59" s="41"/>
      <c r="E59" s="42" t="s">
        <v>97</v>
      </c>
      <c r="F59" s="42"/>
    </row>
    <row r="60" spans="1:6" x14ac:dyDescent="0.4">
      <c r="A60" s="45" t="s">
        <v>109</v>
      </c>
      <c r="B60" s="45"/>
      <c r="C60" s="31">
        <f>MIN(Table2[Device Space (MB)])/1024</f>
        <v>1202.4384765625</v>
      </c>
      <c r="D60" s="4" t="s">
        <v>16</v>
      </c>
      <c r="E60" s="44"/>
      <c r="F60" s="44"/>
    </row>
    <row r="61" spans="1:6" x14ac:dyDescent="0.4">
      <c r="A61" s="45" t="s">
        <v>110</v>
      </c>
      <c r="B61" s="45"/>
      <c r="C61" s="31">
        <f>C50/C22</f>
        <v>913.03125</v>
      </c>
      <c r="D61" s="4" t="s">
        <v>16</v>
      </c>
      <c r="E61" s="44"/>
      <c r="F61" s="44"/>
    </row>
    <row r="62" spans="1:6" x14ac:dyDescent="0.4">
      <c r="A62" s="45" t="s">
        <v>111</v>
      </c>
      <c r="B62" s="45"/>
      <c r="C62" s="9">
        <f>C60-C61</f>
        <v>289.4072265625</v>
      </c>
      <c r="D62" s="4" t="s">
        <v>16</v>
      </c>
      <c r="E62" s="44"/>
      <c r="F62" s="44"/>
    </row>
    <row r="63" spans="1:6" x14ac:dyDescent="0.4">
      <c r="A63" s="45" t="s">
        <v>112</v>
      </c>
      <c r="B63" s="45"/>
      <c r="C63" s="31">
        <f>(C41+C47)/C22/C23</f>
        <v>3.0941351232394365</v>
      </c>
      <c r="D63" s="4" t="s">
        <v>16</v>
      </c>
      <c r="E63" s="44" t="s">
        <v>115</v>
      </c>
      <c r="F63" s="44"/>
    </row>
    <row r="64" spans="1:6" x14ac:dyDescent="0.4">
      <c r="A64" s="45" t="s">
        <v>116</v>
      </c>
      <c r="B64" s="45"/>
      <c r="C64" s="35">
        <f ca="1">TODAY()+(C62/C63)</f>
        <v>45024.534126673658</v>
      </c>
      <c r="E64" s="44" t="s">
        <v>117</v>
      </c>
      <c r="F64" s="44"/>
    </row>
    <row r="65" spans="1:7" x14ac:dyDescent="0.4">
      <c r="A65" s="43"/>
      <c r="B65" s="43"/>
      <c r="C65" s="43"/>
      <c r="D65" s="43"/>
      <c r="E65" s="43"/>
      <c r="F65" s="43"/>
    </row>
    <row r="66" spans="1:7" x14ac:dyDescent="0.4">
      <c r="A66" s="39" t="s">
        <v>42</v>
      </c>
      <c r="B66" s="39"/>
      <c r="C66" s="41" t="str">
        <f>IF($C$16&lt;&gt;0, "FILTERING ERROR", IF('Ending Forest Report'!$D$108='Ending Forest Report'!$D$109,"ALL FORESTS",CONCATENATE('Ending Forest Report'!$D$108, " of ",'Ending Forest Report'!$D$109, " FORESTS")))</f>
        <v>ALL FORESTS</v>
      </c>
      <c r="D66" s="41"/>
      <c r="E66" s="42" t="s">
        <v>80</v>
      </c>
      <c r="F66" s="42"/>
    </row>
    <row r="67" spans="1:7" x14ac:dyDescent="0.4">
      <c r="A67" s="45" t="s">
        <v>25</v>
      </c>
      <c r="B67" s="45"/>
      <c r="C67" s="10">
        <f>Table2[[#Totals],[Doc Count]]</f>
        <v>3251100533</v>
      </c>
      <c r="E67" s="44"/>
      <c r="F67" s="44"/>
      <c r="G67" s="16"/>
    </row>
    <row r="68" spans="1:7" x14ac:dyDescent="0.4">
      <c r="A68" s="45" t="s">
        <v>26</v>
      </c>
      <c r="B68" s="45"/>
      <c r="C68" s="10">
        <f>Table1[[#Totals],[Doc Count]]</f>
        <v>3226600614</v>
      </c>
      <c r="E68" s="44"/>
      <c r="F68" s="44"/>
    </row>
    <row r="69" spans="1:7" x14ac:dyDescent="0.4">
      <c r="A69" s="45" t="s">
        <v>27</v>
      </c>
      <c r="B69" s="45"/>
      <c r="C69" s="11">
        <f>C67-C68</f>
        <v>24499919</v>
      </c>
      <c r="E69" s="44"/>
      <c r="F69" s="44"/>
    </row>
    <row r="70" spans="1:7" x14ac:dyDescent="0.4">
      <c r="A70" s="45" t="s">
        <v>30</v>
      </c>
      <c r="B70" s="45"/>
      <c r="C70" s="12">
        <f>C69/C25</f>
        <v>2760554.2535211267</v>
      </c>
      <c r="E70" s="44"/>
      <c r="F70" s="44"/>
    </row>
    <row r="71" spans="1:7" x14ac:dyDescent="0.4">
      <c r="A71" s="45" t="s">
        <v>36</v>
      </c>
      <c r="B71" s="45"/>
      <c r="C71" s="12">
        <f>C70*C21*(365/12)</f>
        <v>1007602302.5352113</v>
      </c>
      <c r="E71" s="44"/>
      <c r="F71" s="44"/>
    </row>
    <row r="72" spans="1:7" x14ac:dyDescent="0.4">
      <c r="A72" s="45" t="s">
        <v>48</v>
      </c>
      <c r="B72" s="45"/>
      <c r="C72" s="12">
        <f>C71+C67</f>
        <v>4258702835.5352116</v>
      </c>
      <c r="E72" s="44"/>
      <c r="F72" s="44"/>
      <c r="G72" s="16"/>
    </row>
    <row r="73" spans="1:7" x14ac:dyDescent="0.4">
      <c r="A73" s="45" t="s">
        <v>67</v>
      </c>
      <c r="B73" s="45"/>
      <c r="C73" s="23">
        <f>C71/C67</f>
        <v>0.30992652866548909</v>
      </c>
      <c r="E73" s="44"/>
      <c r="F73" s="44"/>
    </row>
    <row r="74" spans="1:7" x14ac:dyDescent="0.4">
      <c r="A74" s="45" t="s">
        <v>68</v>
      </c>
      <c r="B74" s="45"/>
      <c r="C74" s="23">
        <f>C71/C21*12/C67</f>
        <v>0.30992652866548909</v>
      </c>
      <c r="E74" s="44"/>
      <c r="F74" s="44"/>
    </row>
    <row r="75" spans="1:7" x14ac:dyDescent="0.4">
      <c r="A75" s="45" t="s">
        <v>140</v>
      </c>
      <c r="B75" s="45"/>
      <c r="C75" s="10">
        <f>C38*1024*1024/C67</f>
        <v>3.1101549943980156</v>
      </c>
      <c r="D75" s="4" t="s">
        <v>141</v>
      </c>
      <c r="E75" s="44"/>
      <c r="F75" s="44"/>
    </row>
    <row r="76" spans="1:7" x14ac:dyDescent="0.4">
      <c r="A76" s="43"/>
      <c r="B76" s="43"/>
      <c r="C76" s="43"/>
      <c r="D76" s="43"/>
      <c r="E76" s="43"/>
      <c r="F76" s="43"/>
    </row>
    <row r="77" spans="1:7" x14ac:dyDescent="0.4">
      <c r="A77" s="39" t="s">
        <v>56</v>
      </c>
      <c r="B77" s="39"/>
      <c r="C77" s="41" t="str">
        <f>IF($C$16&lt;&gt;0, "FILTERING ERROR", IF('Ending Forest Report'!$D$108='Ending Forest Report'!$D$109,"ALL FORESTS",CONCATENATE('Ending Forest Report'!$D$108, " of ",'Ending Forest Report'!$D$109, " FORESTS")))</f>
        <v>ALL FORESTS</v>
      </c>
      <c r="D77" s="41"/>
      <c r="E77" s="42" t="s">
        <v>101</v>
      </c>
      <c r="F77" s="42"/>
    </row>
    <row r="78" spans="1:7" x14ac:dyDescent="0.4">
      <c r="A78" s="45" t="s">
        <v>49</v>
      </c>
      <c r="B78" s="45"/>
      <c r="C78" s="16">
        <f>C38</f>
        <v>9643.0078125</v>
      </c>
      <c r="D78" s="4" t="s">
        <v>16</v>
      </c>
      <c r="E78" s="44" t="s">
        <v>65</v>
      </c>
      <c r="F78" s="44"/>
      <c r="G78" s="16"/>
    </row>
    <row r="79" spans="1:7" x14ac:dyDescent="0.4">
      <c r="A79" s="45" t="s">
        <v>52</v>
      </c>
      <c r="B79" s="45"/>
      <c r="C79" s="12">
        <f>C67</f>
        <v>3251100533</v>
      </c>
      <c r="E79" s="44" t="s">
        <v>65</v>
      </c>
      <c r="F79" s="44"/>
      <c r="G79" s="16"/>
    </row>
    <row r="80" spans="1:7" x14ac:dyDescent="0.4">
      <c r="A80" s="45" t="s">
        <v>51</v>
      </c>
      <c r="B80" s="45"/>
      <c r="C80" s="12">
        <f>ROUNDUP(C78/$E$28,0)</f>
        <v>65</v>
      </c>
      <c r="E80" s="44"/>
      <c r="F80" s="44"/>
    </row>
    <row r="81" spans="1:7" x14ac:dyDescent="0.4">
      <c r="A81" s="45" t="s">
        <v>50</v>
      </c>
      <c r="B81" s="45"/>
      <c r="C81" s="12">
        <f>ROUNDUP(C79/$E$29,0)</f>
        <v>102</v>
      </c>
      <c r="E81" s="44"/>
      <c r="F81" s="44"/>
    </row>
    <row r="82" spans="1:7" x14ac:dyDescent="0.4">
      <c r="A82" s="45" t="s">
        <v>53</v>
      </c>
      <c r="B82" s="45"/>
      <c r="C82" s="12">
        <f>MAX(C80:C81)</f>
        <v>102</v>
      </c>
      <c r="E82" s="44" t="s">
        <v>54</v>
      </c>
      <c r="F82" s="44"/>
    </row>
    <row r="83" spans="1:7" x14ac:dyDescent="0.4">
      <c r="A83" s="45" t="s">
        <v>55</v>
      </c>
      <c r="B83" s="45"/>
      <c r="C83" s="12">
        <f>Table2[[#Totals],[Host ID]]</f>
        <v>106</v>
      </c>
      <c r="E83" s="44"/>
      <c r="F83" s="44"/>
    </row>
    <row r="84" spans="1:7" x14ac:dyDescent="0.4">
      <c r="A84" s="45" t="s">
        <v>59</v>
      </c>
      <c r="B84" s="45"/>
      <c r="C84" s="12">
        <f>C83-C82</f>
        <v>4</v>
      </c>
      <c r="E84" s="44"/>
      <c r="F84" s="44"/>
    </row>
    <row r="85" spans="1:7" x14ac:dyDescent="0.4">
      <c r="A85" s="43"/>
      <c r="B85" s="43"/>
      <c r="C85" s="43"/>
      <c r="D85" s="43"/>
      <c r="E85" s="43"/>
      <c r="F85" s="43"/>
    </row>
    <row r="86" spans="1:7" x14ac:dyDescent="0.4">
      <c r="A86" s="39" t="s">
        <v>44</v>
      </c>
      <c r="B86" s="39"/>
      <c r="C86" s="41" t="str">
        <f>IF($C$16&lt;&gt;0, "FILTERING ERROR", IF('Ending Forest Report'!$D$108='Ending Forest Report'!$D$109,"ALL FORESTS",CONCATENATE('Ending Forest Report'!$D$108, " of ",'Ending Forest Report'!$D$109, " FORESTS")))</f>
        <v>ALL FORESTS</v>
      </c>
      <c r="D86" s="41"/>
      <c r="E86" s="42" t="s">
        <v>101</v>
      </c>
      <c r="F86" s="42"/>
    </row>
    <row r="87" spans="1:7" x14ac:dyDescent="0.4">
      <c r="A87" s="45" t="s">
        <v>47</v>
      </c>
      <c r="B87" s="45"/>
      <c r="C87" s="16">
        <f>C38+SUM(C42,C45)</f>
        <v>16413.470648107395</v>
      </c>
      <c r="D87" s="4" t="s">
        <v>16</v>
      </c>
      <c r="E87" s="44" t="s">
        <v>64</v>
      </c>
      <c r="F87" s="44"/>
    </row>
    <row r="88" spans="1:7" x14ac:dyDescent="0.4">
      <c r="A88" s="45" t="s">
        <v>57</v>
      </c>
      <c r="B88" s="45"/>
      <c r="C88" s="12">
        <f>C72</f>
        <v>4258702835.5352116</v>
      </c>
      <c r="E88" s="44" t="s">
        <v>64</v>
      </c>
      <c r="F88" s="44"/>
      <c r="G88" s="16"/>
    </row>
    <row r="89" spans="1:7" x14ac:dyDescent="0.4">
      <c r="A89" s="45" t="s">
        <v>51</v>
      </c>
      <c r="B89" s="45"/>
      <c r="C89" s="12">
        <f>ROUNDUP(C87/$E$28,0)</f>
        <v>110</v>
      </c>
      <c r="E89" s="44"/>
      <c r="F89" s="44"/>
    </row>
    <row r="90" spans="1:7" x14ac:dyDescent="0.4">
      <c r="A90" s="45" t="s">
        <v>50</v>
      </c>
      <c r="B90" s="45"/>
      <c r="C90" s="12">
        <f>ROUNDUP(C88/$E$29,0)</f>
        <v>134</v>
      </c>
      <c r="E90" s="44"/>
      <c r="F90" s="44"/>
    </row>
    <row r="91" spans="1:7" x14ac:dyDescent="0.4">
      <c r="A91" s="45" t="s">
        <v>53</v>
      </c>
      <c r="B91" s="45"/>
      <c r="C91" s="12">
        <f>MAX(C89:C90)</f>
        <v>134</v>
      </c>
      <c r="E91" s="44" t="s">
        <v>54</v>
      </c>
      <c r="F91" s="44"/>
      <c r="G91" s="12"/>
    </row>
    <row r="92" spans="1:7" x14ac:dyDescent="0.4">
      <c r="A92" s="45" t="s">
        <v>55</v>
      </c>
      <c r="B92" s="45"/>
      <c r="C92" s="12">
        <f>Table2[[#Totals],[Host ID]]</f>
        <v>106</v>
      </c>
      <c r="E92" s="44"/>
      <c r="F92" s="44"/>
    </row>
    <row r="93" spans="1:7" x14ac:dyDescent="0.4">
      <c r="A93" s="45" t="s">
        <v>59</v>
      </c>
      <c r="B93" s="45"/>
      <c r="C93" s="12">
        <f>C92-C91</f>
        <v>-28</v>
      </c>
      <c r="E93" s="44"/>
      <c r="F93" s="44"/>
    </row>
    <row r="94" spans="1:7" x14ac:dyDescent="0.4">
      <c r="A94" s="43"/>
      <c r="B94" s="43"/>
      <c r="C94" s="43"/>
      <c r="D94" s="43"/>
      <c r="E94" s="43"/>
      <c r="F94" s="43"/>
    </row>
    <row r="95" spans="1:7" x14ac:dyDescent="0.4">
      <c r="A95" s="39" t="s">
        <v>73</v>
      </c>
      <c r="B95" s="39"/>
      <c r="C95" s="41" t="str">
        <f>IF($C$16&lt;&gt;0, "FILTERING ERROR", IF('Ending Forest Report'!$D$108='Ending Forest Report'!$D$109,"ALL FORESTS",CONCATENATE('Ending Forest Report'!$D$108, " of ",'Ending Forest Report'!$D$109, " FORESTS")))</f>
        <v>ALL FORESTS</v>
      </c>
      <c r="D95" s="41"/>
      <c r="E95" s="42" t="s">
        <v>81</v>
      </c>
      <c r="F95" s="42"/>
    </row>
    <row r="96" spans="1:7" x14ac:dyDescent="0.4">
      <c r="A96" s="45" t="s">
        <v>69</v>
      </c>
      <c r="B96" s="45"/>
      <c r="C96" s="12">
        <f>C82</f>
        <v>102</v>
      </c>
      <c r="E96" s="44" t="s">
        <v>64</v>
      </c>
      <c r="F96" s="44"/>
    </row>
    <row r="97" spans="1:6" ht="12.75" customHeight="1" x14ac:dyDescent="0.4">
      <c r="A97" s="45" t="s">
        <v>71</v>
      </c>
      <c r="B97" s="45"/>
      <c r="C97" s="12">
        <f>ROUNDUP($C$96/$C$22,0)*E30</f>
        <v>680</v>
      </c>
      <c r="D97" s="4" t="s">
        <v>61</v>
      </c>
      <c r="E97" s="40" t="s">
        <v>84</v>
      </c>
      <c r="F97" s="40"/>
    </row>
    <row r="98" spans="1:6" x14ac:dyDescent="0.4">
      <c r="A98" s="45" t="s">
        <v>72</v>
      </c>
      <c r="B98" s="45"/>
      <c r="C98" s="12">
        <f>ROUNDUP($C$96/$C$22,0)*E31</f>
        <v>680</v>
      </c>
      <c r="D98" s="4" t="s">
        <v>61</v>
      </c>
      <c r="E98" s="40"/>
      <c r="F98" s="40"/>
    </row>
    <row r="99" spans="1:6" x14ac:dyDescent="0.4">
      <c r="A99" s="43"/>
      <c r="B99" s="43"/>
      <c r="C99" s="43"/>
      <c r="D99" s="43"/>
      <c r="E99" s="43"/>
      <c r="F99" s="43"/>
    </row>
    <row r="100" spans="1:6" x14ac:dyDescent="0.4">
      <c r="A100" s="39" t="s">
        <v>74</v>
      </c>
      <c r="B100" s="39"/>
      <c r="C100" s="41" t="str">
        <f>IF($C$16&lt;&gt;0, "FILTERING ERROR", IF('Ending Forest Report'!$D$108='Ending Forest Report'!$D$109,"ALL FORESTS",CONCATENATE('Ending Forest Report'!$D$108, " of ",'Ending Forest Report'!$D$109, " FORESTS")))</f>
        <v>ALL FORESTS</v>
      </c>
      <c r="D100" s="41"/>
      <c r="E100" s="42" t="s">
        <v>81</v>
      </c>
      <c r="F100" s="42"/>
    </row>
    <row r="101" spans="1:6" x14ac:dyDescent="0.4">
      <c r="A101" s="45" t="s">
        <v>70</v>
      </c>
      <c r="B101" s="45"/>
      <c r="C101" s="12">
        <f>C91</f>
        <v>134</v>
      </c>
      <c r="E101" s="44" t="s">
        <v>64</v>
      </c>
      <c r="F101" s="44"/>
    </row>
    <row r="102" spans="1:6" ht="12.75" customHeight="1" x14ac:dyDescent="0.4">
      <c r="A102" s="45" t="s">
        <v>71</v>
      </c>
      <c r="B102" s="45"/>
      <c r="C102" s="12">
        <f>ROUNDUP($C$101/$C$22,0)*$E$30</f>
        <v>920</v>
      </c>
      <c r="D102" s="4" t="s">
        <v>61</v>
      </c>
      <c r="E102" s="40" t="s">
        <v>84</v>
      </c>
      <c r="F102" s="40"/>
    </row>
    <row r="103" spans="1:6" x14ac:dyDescent="0.4">
      <c r="A103" s="45" t="s">
        <v>72</v>
      </c>
      <c r="B103" s="45"/>
      <c r="C103" s="12">
        <f>ROUNDUP($C$101/$C$22,0)*$E$31</f>
        <v>920</v>
      </c>
      <c r="D103" s="4" t="s">
        <v>61</v>
      </c>
      <c r="E103" s="40"/>
      <c r="F103" s="40"/>
    </row>
    <row r="104" spans="1:6" x14ac:dyDescent="0.4">
      <c r="A104" s="43"/>
      <c r="B104" s="43"/>
      <c r="C104" s="43"/>
      <c r="D104" s="43"/>
      <c r="E104" s="43"/>
      <c r="F104" s="43"/>
    </row>
  </sheetData>
  <mergeCells count="171">
    <mergeCell ref="E51:F51"/>
    <mergeCell ref="A51:B51"/>
    <mergeCell ref="B12:F12"/>
    <mergeCell ref="A35:F35"/>
    <mergeCell ref="A2:F2"/>
    <mergeCell ref="B3:F3"/>
    <mergeCell ref="A22:B22"/>
    <mergeCell ref="A23:B23"/>
    <mergeCell ref="B11:F11"/>
    <mergeCell ref="B5:F5"/>
    <mergeCell ref="B6:F6"/>
    <mergeCell ref="B13:F13"/>
    <mergeCell ref="B14:F14"/>
    <mergeCell ref="E16:F16"/>
    <mergeCell ref="A15:F15"/>
    <mergeCell ref="A16:B16"/>
    <mergeCell ref="A25:B25"/>
    <mergeCell ref="E49:F49"/>
    <mergeCell ref="A50:B50"/>
    <mergeCell ref="A49:B49"/>
    <mergeCell ref="C37:D37"/>
    <mergeCell ref="A46:B46"/>
    <mergeCell ref="A17:F17"/>
    <mergeCell ref="A98:B98"/>
    <mergeCell ref="A104:F104"/>
    <mergeCell ref="E102:F103"/>
    <mergeCell ref="C100:D100"/>
    <mergeCell ref="E100:F100"/>
    <mergeCell ref="A83:B83"/>
    <mergeCell ref="A84:B84"/>
    <mergeCell ref="B4:F4"/>
    <mergeCell ref="B7:F7"/>
    <mergeCell ref="B9:F9"/>
    <mergeCell ref="B10:F10"/>
    <mergeCell ref="A96:B96"/>
    <mergeCell ref="A82:B82"/>
    <mergeCell ref="A18:B18"/>
    <mergeCell ref="A21:B21"/>
    <mergeCell ref="A20:B20"/>
    <mergeCell ref="A19:B19"/>
    <mergeCell ref="A68:B68"/>
    <mergeCell ref="A69:B69"/>
    <mergeCell ref="A89:B89"/>
    <mergeCell ref="A90:B90"/>
    <mergeCell ref="A91:B91"/>
    <mergeCell ref="A92:B92"/>
    <mergeCell ref="A28:B28"/>
    <mergeCell ref="A29:B29"/>
    <mergeCell ref="A30:B30"/>
    <mergeCell ref="A31:B31"/>
    <mergeCell ref="A70:B70"/>
    <mergeCell ref="A71:B71"/>
    <mergeCell ref="A72:B72"/>
    <mergeCell ref="A39:B39"/>
    <mergeCell ref="A40:B40"/>
    <mergeCell ref="A41:B41"/>
    <mergeCell ref="A67:B67"/>
    <mergeCell ref="A52:B53"/>
    <mergeCell ref="A42:B42"/>
    <mergeCell ref="A38:B38"/>
    <mergeCell ref="A59:B59"/>
    <mergeCell ref="A60:B60"/>
    <mergeCell ref="A61:B61"/>
    <mergeCell ref="E40:F40"/>
    <mergeCell ref="E41:F41"/>
    <mergeCell ref="E42:F42"/>
    <mergeCell ref="E44:F45"/>
    <mergeCell ref="A32:B32"/>
    <mergeCell ref="A48:B48"/>
    <mergeCell ref="E50:F50"/>
    <mergeCell ref="E69:F69"/>
    <mergeCell ref="E70:F70"/>
    <mergeCell ref="A63:B63"/>
    <mergeCell ref="E63:F63"/>
    <mergeCell ref="A64:B64"/>
    <mergeCell ref="C59:D59"/>
    <mergeCell ref="E52:F55"/>
    <mergeCell ref="A66:B66"/>
    <mergeCell ref="E23:F23"/>
    <mergeCell ref="E20:F20"/>
    <mergeCell ref="E19:F19"/>
    <mergeCell ref="E64:F64"/>
    <mergeCell ref="A65:F65"/>
    <mergeCell ref="A47:B47"/>
    <mergeCell ref="E47:F47"/>
    <mergeCell ref="A34:F34"/>
    <mergeCell ref="E43:F43"/>
    <mergeCell ref="A43:B43"/>
    <mergeCell ref="A44:B44"/>
    <mergeCell ref="A45:B45"/>
    <mergeCell ref="A36:F36"/>
    <mergeCell ref="A26:F26"/>
    <mergeCell ref="A58:F58"/>
    <mergeCell ref="A33:F33"/>
    <mergeCell ref="E37:F37"/>
    <mergeCell ref="A24:B24"/>
    <mergeCell ref="E24:F24"/>
    <mergeCell ref="E25:F25"/>
    <mergeCell ref="E59:F59"/>
    <mergeCell ref="E60:F60"/>
    <mergeCell ref="E38:F38"/>
    <mergeCell ref="E39:F39"/>
    <mergeCell ref="A103:B103"/>
    <mergeCell ref="A1:F1"/>
    <mergeCell ref="A99:F99"/>
    <mergeCell ref="A77:B77"/>
    <mergeCell ref="A37:B37"/>
    <mergeCell ref="A57:B57"/>
    <mergeCell ref="E57:F57"/>
    <mergeCell ref="A74:B74"/>
    <mergeCell ref="E74:F74"/>
    <mergeCell ref="A73:B73"/>
    <mergeCell ref="E73:F73"/>
    <mergeCell ref="E101:F101"/>
    <mergeCell ref="A101:B101"/>
    <mergeCell ref="A102:B102"/>
    <mergeCell ref="B8:F8"/>
    <mergeCell ref="A94:F94"/>
    <mergeCell ref="E93:F93"/>
    <mergeCell ref="E87:F87"/>
    <mergeCell ref="E67:F67"/>
    <mergeCell ref="E68:F68"/>
    <mergeCell ref="E18:F18"/>
    <mergeCell ref="E22:F22"/>
    <mergeCell ref="A56:B56"/>
    <mergeCell ref="E56:F56"/>
    <mergeCell ref="A75:B75"/>
    <mergeCell ref="E75:F75"/>
    <mergeCell ref="E86:F86"/>
    <mergeCell ref="E46:F46"/>
    <mergeCell ref="E48:F48"/>
    <mergeCell ref="A86:B86"/>
    <mergeCell ref="A54:B55"/>
    <mergeCell ref="C66:D66"/>
    <mergeCell ref="E66:F66"/>
    <mergeCell ref="E61:F61"/>
    <mergeCell ref="A62:B62"/>
    <mergeCell ref="E62:F62"/>
    <mergeCell ref="E72:F72"/>
    <mergeCell ref="C77:D77"/>
    <mergeCell ref="E77:F77"/>
    <mergeCell ref="C86:D86"/>
    <mergeCell ref="E71:F71"/>
    <mergeCell ref="A78:B78"/>
    <mergeCell ref="A80:B80"/>
    <mergeCell ref="A81:B81"/>
    <mergeCell ref="A79:B79"/>
    <mergeCell ref="A100:B100"/>
    <mergeCell ref="E97:F98"/>
    <mergeCell ref="C95:D95"/>
    <mergeCell ref="E95:F95"/>
    <mergeCell ref="A76:F76"/>
    <mergeCell ref="A85:F85"/>
    <mergeCell ref="E78:F78"/>
    <mergeCell ref="E79:F79"/>
    <mergeCell ref="E80:F80"/>
    <mergeCell ref="E81:F81"/>
    <mergeCell ref="E82:F82"/>
    <mergeCell ref="E83:F83"/>
    <mergeCell ref="E84:F84"/>
    <mergeCell ref="E88:F88"/>
    <mergeCell ref="E89:F89"/>
    <mergeCell ref="E90:F90"/>
    <mergeCell ref="E96:F96"/>
    <mergeCell ref="A95:B95"/>
    <mergeCell ref="E91:F91"/>
    <mergeCell ref="E92:F92"/>
    <mergeCell ref="A93:B93"/>
    <mergeCell ref="A87:B87"/>
    <mergeCell ref="A88:B88"/>
    <mergeCell ref="A97:B97"/>
  </mergeCells>
  <conditionalFormatting sqref="C16">
    <cfRule type="expression" dxfId="19" priority="21">
      <formula>C16&lt;&gt;0</formula>
    </cfRule>
  </conditionalFormatting>
  <conditionalFormatting sqref="E28">
    <cfRule type="expression" dxfId="18" priority="20">
      <formula>E28&lt;&gt;C28</formula>
    </cfRule>
  </conditionalFormatting>
  <conditionalFormatting sqref="E29">
    <cfRule type="expression" dxfId="17" priority="19">
      <formula>E29&lt;&gt;C29</formula>
    </cfRule>
  </conditionalFormatting>
  <conditionalFormatting sqref="F28">
    <cfRule type="expression" dxfId="16" priority="16">
      <formula>F28&lt;=E28</formula>
    </cfRule>
    <cfRule type="expression" dxfId="15" priority="17">
      <formula>F28&gt;E28</formula>
    </cfRule>
  </conditionalFormatting>
  <conditionalFormatting sqref="F29">
    <cfRule type="expression" dxfId="14" priority="14">
      <formula>F29&lt;=E29</formula>
    </cfRule>
    <cfRule type="expression" dxfId="13" priority="15">
      <formula>F29&gt;E29</formula>
    </cfRule>
  </conditionalFormatting>
  <conditionalFormatting sqref="C84">
    <cfRule type="expression" dxfId="12" priority="12">
      <formula>C84&gt;=0</formula>
    </cfRule>
    <cfRule type="expression" dxfId="11" priority="13">
      <formula>C84&lt;0</formula>
    </cfRule>
  </conditionalFormatting>
  <conditionalFormatting sqref="C93">
    <cfRule type="expression" dxfId="10" priority="10">
      <formula>C93&gt;=0</formula>
    </cfRule>
    <cfRule type="expression" dxfId="9" priority="11">
      <formula>C93&lt;0</formula>
    </cfRule>
  </conditionalFormatting>
  <conditionalFormatting sqref="E30:E31">
    <cfRule type="expression" dxfId="8" priority="9">
      <formula>E30&lt;&gt;C30</formula>
    </cfRule>
  </conditionalFormatting>
  <conditionalFormatting sqref="C37:D37">
    <cfRule type="expression" dxfId="7" priority="8">
      <formula>$C$16&lt;&gt;0</formula>
    </cfRule>
  </conditionalFormatting>
  <conditionalFormatting sqref="C66:D66">
    <cfRule type="expression" dxfId="6" priority="7">
      <formula>$C$16&lt;&gt;0</formula>
    </cfRule>
  </conditionalFormatting>
  <conditionalFormatting sqref="C77:D77">
    <cfRule type="expression" dxfId="5" priority="6">
      <formula>$C$16&lt;&gt;0</formula>
    </cfRule>
  </conditionalFormatting>
  <conditionalFormatting sqref="C86:D86">
    <cfRule type="expression" dxfId="4" priority="5">
      <formula>$C$16&lt;&gt;0</formula>
    </cfRule>
  </conditionalFormatting>
  <conditionalFormatting sqref="C95:D95">
    <cfRule type="expression" dxfId="3" priority="4">
      <formula>$C$16&lt;&gt;0</formula>
    </cfRule>
  </conditionalFormatting>
  <conditionalFormatting sqref="C100:D100">
    <cfRule type="expression" dxfId="2" priority="3">
      <formula>$C$16&lt;&gt;0</formula>
    </cfRule>
  </conditionalFormatting>
  <conditionalFormatting sqref="C59:D59">
    <cfRule type="expression" dxfId="1" priority="2">
      <formula>$C$16&lt;&gt;0</formula>
    </cfRule>
  </conditionalFormatting>
  <conditionalFormatting sqref="E32">
    <cfRule type="expression" dxfId="0" priority="1">
      <formula>E32&lt;&gt;C32</formula>
    </cfRule>
  </conditionalFormatting>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0"/>
  <sheetViews>
    <sheetView zoomScale="115" zoomScaleNormal="115" workbookViewId="0">
      <pane ySplit="1" topLeftCell="A2" activePane="bottomLeft" state="frozen"/>
      <selection pane="bottomLeft" activeCell="A2" sqref="A2"/>
    </sheetView>
  </sheetViews>
  <sheetFormatPr defaultRowHeight="14.6" x14ac:dyDescent="0.4"/>
  <cols>
    <col min="1" max="1" width="10.69140625" style="34" bestFit="1" customWidth="1"/>
    <col min="2" max="2" width="32.53515625" bestFit="1" customWidth="1"/>
    <col min="3" max="3" width="34.3828125" bestFit="1" customWidth="1"/>
    <col min="4" max="4" width="12" bestFit="1" customWidth="1"/>
    <col min="5" max="5" width="18.3828125" bestFit="1" customWidth="1"/>
    <col min="6" max="6" width="22.3046875" bestFit="1" customWidth="1"/>
    <col min="7" max="7" width="20.15234375" bestFit="1" customWidth="1"/>
    <col min="8" max="8" width="20.15234375" customWidth="1"/>
    <col min="9" max="9" width="23.84375" bestFit="1" customWidth="1"/>
    <col min="10" max="10" width="19.69140625" bestFit="1" customWidth="1"/>
    <col min="11" max="11" width="17.84375" bestFit="1" customWidth="1"/>
    <col min="12" max="12" width="15.15234375" bestFit="1" customWidth="1"/>
    <col min="13" max="13" width="14.53515625" bestFit="1" customWidth="1"/>
  </cols>
  <sheetData>
    <row r="1" spans="1:12" x14ac:dyDescent="0.4">
      <c r="A1" s="1" t="s">
        <v>108</v>
      </c>
      <c r="B1" s="1" t="s">
        <v>0</v>
      </c>
      <c r="C1" s="1" t="s">
        <v>1</v>
      </c>
      <c r="D1" s="1" t="s">
        <v>2</v>
      </c>
      <c r="E1" s="1" t="s">
        <v>3</v>
      </c>
      <c r="F1" s="1" t="s">
        <v>20</v>
      </c>
      <c r="G1" s="1" t="s">
        <v>18</v>
      </c>
      <c r="H1" s="1" t="s">
        <v>118</v>
      </c>
      <c r="I1" s="1" t="s">
        <v>19</v>
      </c>
      <c r="J1" s="1" t="s">
        <v>100</v>
      </c>
      <c r="K1" s="1" t="s">
        <v>99</v>
      </c>
      <c r="L1" s="1" t="s">
        <v>21</v>
      </c>
    </row>
    <row r="2" spans="1:12" x14ac:dyDescent="0.4">
      <c r="A2" s="34">
        <v>1</v>
      </c>
      <c r="B2" t="s">
        <v>13</v>
      </c>
      <c r="C2" t="s">
        <v>13</v>
      </c>
      <c r="D2">
        <v>6.8555426884774605E+18</v>
      </c>
      <c r="E2" t="s">
        <v>5</v>
      </c>
      <c r="F2">
        <v>1256147</v>
      </c>
      <c r="G2">
        <v>100</v>
      </c>
      <c r="H2">
        <v>100</v>
      </c>
      <c r="I2">
        <v>400</v>
      </c>
      <c r="J2">
        <v>0</v>
      </c>
      <c r="K2">
        <v>658</v>
      </c>
      <c r="L2">
        <v>23985</v>
      </c>
    </row>
    <row r="3" spans="1:12" x14ac:dyDescent="0.4">
      <c r="A3" s="34">
        <v>2</v>
      </c>
      <c r="B3" t="s">
        <v>143</v>
      </c>
      <c r="C3" t="s">
        <v>144</v>
      </c>
      <c r="D3">
        <v>1.37756619989842E+19</v>
      </c>
      <c r="E3" t="s">
        <v>5</v>
      </c>
      <c r="F3">
        <v>1285461</v>
      </c>
      <c r="G3">
        <v>198458</v>
      </c>
      <c r="H3">
        <v>0</v>
      </c>
      <c r="I3">
        <v>98304</v>
      </c>
      <c r="J3">
        <v>0</v>
      </c>
      <c r="K3">
        <v>1805</v>
      </c>
      <c r="L3">
        <v>36712253</v>
      </c>
    </row>
    <row r="4" spans="1:12" x14ac:dyDescent="0.4">
      <c r="A4" s="34">
        <v>3</v>
      </c>
      <c r="B4" t="s">
        <v>143</v>
      </c>
      <c r="C4" t="s">
        <v>145</v>
      </c>
      <c r="D4">
        <v>1.37756619989842E+19</v>
      </c>
      <c r="E4" t="s">
        <v>5</v>
      </c>
      <c r="F4">
        <v>1285461</v>
      </c>
      <c r="G4">
        <v>193469</v>
      </c>
      <c r="H4">
        <v>0</v>
      </c>
      <c r="I4">
        <v>98304</v>
      </c>
      <c r="J4">
        <v>0</v>
      </c>
      <c r="K4">
        <v>1850</v>
      </c>
      <c r="L4">
        <v>36709366</v>
      </c>
    </row>
    <row r="5" spans="1:12" x14ac:dyDescent="0.4">
      <c r="A5" s="34">
        <v>4</v>
      </c>
      <c r="B5" t="s">
        <v>143</v>
      </c>
      <c r="C5" t="s">
        <v>146</v>
      </c>
      <c r="D5">
        <v>1.37756619989842E+19</v>
      </c>
      <c r="E5" t="s">
        <v>5</v>
      </c>
      <c r="F5">
        <v>1285461</v>
      </c>
      <c r="G5">
        <v>206959</v>
      </c>
      <c r="H5">
        <v>0</v>
      </c>
      <c r="I5">
        <v>98304</v>
      </c>
      <c r="J5">
        <v>0</v>
      </c>
      <c r="K5">
        <v>1840</v>
      </c>
      <c r="L5">
        <v>36713624</v>
      </c>
    </row>
    <row r="6" spans="1:12" x14ac:dyDescent="0.4">
      <c r="A6" s="34">
        <v>5</v>
      </c>
      <c r="B6" t="s">
        <v>143</v>
      </c>
      <c r="C6" t="s">
        <v>147</v>
      </c>
      <c r="D6">
        <v>1.37756619989842E+19</v>
      </c>
      <c r="E6" t="s">
        <v>5</v>
      </c>
      <c r="F6">
        <v>1285461</v>
      </c>
      <c r="G6">
        <v>188672</v>
      </c>
      <c r="H6">
        <v>0</v>
      </c>
      <c r="I6">
        <v>98304</v>
      </c>
      <c r="J6">
        <v>0</v>
      </c>
      <c r="K6">
        <v>1890</v>
      </c>
      <c r="L6">
        <v>36703079</v>
      </c>
    </row>
    <row r="7" spans="1:12" x14ac:dyDescent="0.4">
      <c r="A7" s="34">
        <v>6</v>
      </c>
      <c r="B7" t="s">
        <v>143</v>
      </c>
      <c r="C7" t="s">
        <v>148</v>
      </c>
      <c r="D7">
        <v>6.8555426884774605E+18</v>
      </c>
      <c r="E7" t="s">
        <v>5</v>
      </c>
      <c r="F7">
        <v>1256146</v>
      </c>
      <c r="G7">
        <v>196283</v>
      </c>
      <c r="H7">
        <v>0</v>
      </c>
      <c r="I7">
        <v>98304</v>
      </c>
      <c r="J7">
        <v>0</v>
      </c>
      <c r="K7">
        <v>2032</v>
      </c>
      <c r="L7">
        <v>36707166</v>
      </c>
    </row>
    <row r="8" spans="1:12" x14ac:dyDescent="0.4">
      <c r="A8" s="34">
        <v>7</v>
      </c>
      <c r="B8" t="s">
        <v>143</v>
      </c>
      <c r="C8" t="s">
        <v>149</v>
      </c>
      <c r="D8">
        <v>6.8555426884774605E+18</v>
      </c>
      <c r="E8" t="s">
        <v>5</v>
      </c>
      <c r="F8">
        <v>1256148</v>
      </c>
      <c r="G8">
        <v>204090</v>
      </c>
      <c r="H8">
        <v>0</v>
      </c>
      <c r="I8">
        <v>98304</v>
      </c>
      <c r="J8">
        <v>0</v>
      </c>
      <c r="K8">
        <v>2007</v>
      </c>
      <c r="L8">
        <v>36708336</v>
      </c>
    </row>
    <row r="9" spans="1:12" x14ac:dyDescent="0.4">
      <c r="A9" s="34">
        <v>8</v>
      </c>
      <c r="B9" t="s">
        <v>143</v>
      </c>
      <c r="C9" t="s">
        <v>150</v>
      </c>
      <c r="D9">
        <v>6.8555426884774605E+18</v>
      </c>
      <c r="E9" t="s">
        <v>5</v>
      </c>
      <c r="F9">
        <v>1256148</v>
      </c>
      <c r="G9">
        <v>202182</v>
      </c>
      <c r="H9">
        <v>0</v>
      </c>
      <c r="I9">
        <v>98304</v>
      </c>
      <c r="J9">
        <v>0</v>
      </c>
      <c r="K9">
        <v>1842</v>
      </c>
      <c r="L9">
        <v>36711411</v>
      </c>
    </row>
    <row r="10" spans="1:12" x14ac:dyDescent="0.4">
      <c r="A10" s="34">
        <v>9</v>
      </c>
      <c r="B10" t="s">
        <v>143</v>
      </c>
      <c r="C10" t="s">
        <v>151</v>
      </c>
      <c r="D10">
        <v>6.8555426884774605E+18</v>
      </c>
      <c r="E10" t="s">
        <v>5</v>
      </c>
      <c r="F10">
        <v>1256148</v>
      </c>
      <c r="G10">
        <v>201749</v>
      </c>
      <c r="H10">
        <v>0</v>
      </c>
      <c r="I10">
        <v>98304</v>
      </c>
      <c r="J10">
        <v>0</v>
      </c>
      <c r="K10">
        <v>1933</v>
      </c>
      <c r="L10">
        <v>36708229</v>
      </c>
    </row>
    <row r="11" spans="1:12" x14ac:dyDescent="0.4">
      <c r="A11" s="34">
        <v>10</v>
      </c>
      <c r="B11" t="s">
        <v>143</v>
      </c>
      <c r="C11" t="s">
        <v>152</v>
      </c>
      <c r="D11">
        <v>2.7341003287548298E+18</v>
      </c>
      <c r="E11" t="s">
        <v>5</v>
      </c>
      <c r="F11">
        <v>1266633</v>
      </c>
      <c r="G11">
        <v>194643</v>
      </c>
      <c r="H11">
        <v>0</v>
      </c>
      <c r="I11">
        <v>98304</v>
      </c>
      <c r="J11">
        <v>0</v>
      </c>
      <c r="K11">
        <v>2007</v>
      </c>
      <c r="L11">
        <v>36710227</v>
      </c>
    </row>
    <row r="12" spans="1:12" x14ac:dyDescent="0.4">
      <c r="A12" s="34">
        <v>11</v>
      </c>
      <c r="B12" t="s">
        <v>143</v>
      </c>
      <c r="C12" t="s">
        <v>153</v>
      </c>
      <c r="D12">
        <v>2.7341003287548298E+18</v>
      </c>
      <c r="E12" t="s">
        <v>5</v>
      </c>
      <c r="F12">
        <v>1266633</v>
      </c>
      <c r="G12">
        <v>194783</v>
      </c>
      <c r="H12">
        <v>0</v>
      </c>
      <c r="I12">
        <v>98304</v>
      </c>
      <c r="J12">
        <v>0</v>
      </c>
      <c r="K12">
        <v>1989</v>
      </c>
      <c r="L12">
        <v>36704397</v>
      </c>
    </row>
    <row r="13" spans="1:12" x14ac:dyDescent="0.4">
      <c r="A13" s="34">
        <v>12</v>
      </c>
      <c r="B13" t="s">
        <v>143</v>
      </c>
      <c r="C13" t="s">
        <v>154</v>
      </c>
      <c r="D13">
        <v>2.7341003287548298E+18</v>
      </c>
      <c r="E13" t="s">
        <v>5</v>
      </c>
      <c r="F13">
        <v>1266633</v>
      </c>
      <c r="G13">
        <v>197529</v>
      </c>
      <c r="H13">
        <v>0</v>
      </c>
      <c r="I13">
        <v>98304</v>
      </c>
      <c r="J13">
        <v>0</v>
      </c>
      <c r="K13">
        <v>1883</v>
      </c>
      <c r="L13">
        <v>36704611</v>
      </c>
    </row>
    <row r="14" spans="1:12" x14ac:dyDescent="0.4">
      <c r="A14" s="34">
        <v>13</v>
      </c>
      <c r="B14" t="s">
        <v>143</v>
      </c>
      <c r="C14" t="s">
        <v>155</v>
      </c>
      <c r="D14">
        <v>2.7341003287548298E+18</v>
      </c>
      <c r="E14" t="s">
        <v>5</v>
      </c>
      <c r="F14">
        <v>1266633</v>
      </c>
      <c r="G14">
        <v>198696</v>
      </c>
      <c r="H14">
        <v>0</v>
      </c>
      <c r="I14">
        <v>98304</v>
      </c>
      <c r="J14">
        <v>0</v>
      </c>
      <c r="K14">
        <v>1952</v>
      </c>
      <c r="L14">
        <v>36712167</v>
      </c>
    </row>
    <row r="15" spans="1:12" x14ac:dyDescent="0.4">
      <c r="A15" s="34">
        <v>14</v>
      </c>
      <c r="B15" t="s">
        <v>143</v>
      </c>
      <c r="C15" t="s">
        <v>156</v>
      </c>
      <c r="D15">
        <v>9.1832568818803702E+18</v>
      </c>
      <c r="E15" t="s">
        <v>5</v>
      </c>
      <c r="F15">
        <v>1285714</v>
      </c>
      <c r="G15">
        <v>194983</v>
      </c>
      <c r="H15">
        <v>0</v>
      </c>
      <c r="I15">
        <v>98304</v>
      </c>
      <c r="J15">
        <v>0</v>
      </c>
      <c r="K15">
        <v>2025</v>
      </c>
      <c r="L15">
        <v>36718219</v>
      </c>
    </row>
    <row r="16" spans="1:12" x14ac:dyDescent="0.4">
      <c r="A16" s="34">
        <v>15</v>
      </c>
      <c r="B16" t="s">
        <v>143</v>
      </c>
      <c r="C16" t="s">
        <v>157</v>
      </c>
      <c r="D16">
        <v>9.1832568818803702E+18</v>
      </c>
      <c r="E16" t="s">
        <v>5</v>
      </c>
      <c r="F16">
        <v>1285714</v>
      </c>
      <c r="G16">
        <v>197571</v>
      </c>
      <c r="H16">
        <v>0</v>
      </c>
      <c r="I16">
        <v>98304</v>
      </c>
      <c r="J16">
        <v>0</v>
      </c>
      <c r="K16">
        <v>2045</v>
      </c>
      <c r="L16">
        <v>36703770</v>
      </c>
    </row>
    <row r="17" spans="1:12" x14ac:dyDescent="0.4">
      <c r="A17" s="34">
        <v>16</v>
      </c>
      <c r="B17" t="s">
        <v>143</v>
      </c>
      <c r="C17" t="s">
        <v>158</v>
      </c>
      <c r="D17">
        <v>9.1832568818803702E+18</v>
      </c>
      <c r="E17" t="s">
        <v>5</v>
      </c>
      <c r="F17">
        <v>1285714</v>
      </c>
      <c r="G17">
        <v>194570</v>
      </c>
      <c r="H17">
        <v>0</v>
      </c>
      <c r="I17">
        <v>98304</v>
      </c>
      <c r="J17">
        <v>0</v>
      </c>
      <c r="K17">
        <v>2004</v>
      </c>
      <c r="L17">
        <v>36703082</v>
      </c>
    </row>
    <row r="18" spans="1:12" x14ac:dyDescent="0.4">
      <c r="A18" s="34">
        <v>17</v>
      </c>
      <c r="B18" t="s">
        <v>143</v>
      </c>
      <c r="C18" t="s">
        <v>159</v>
      </c>
      <c r="D18">
        <v>9.1832568818803702E+18</v>
      </c>
      <c r="E18" t="s">
        <v>5</v>
      </c>
      <c r="F18">
        <v>1285714</v>
      </c>
      <c r="G18">
        <v>200381</v>
      </c>
      <c r="H18">
        <v>0</v>
      </c>
      <c r="I18">
        <v>98304</v>
      </c>
      <c r="J18">
        <v>0</v>
      </c>
      <c r="K18">
        <v>1799</v>
      </c>
      <c r="L18">
        <v>36709134</v>
      </c>
    </row>
    <row r="19" spans="1:12" x14ac:dyDescent="0.4">
      <c r="A19" s="34">
        <v>18</v>
      </c>
      <c r="B19" t="s">
        <v>143</v>
      </c>
      <c r="C19" t="s">
        <v>160</v>
      </c>
      <c r="D19">
        <v>9.8256058180514796E+18</v>
      </c>
      <c r="E19" t="s">
        <v>5</v>
      </c>
      <c r="F19">
        <v>1280539</v>
      </c>
      <c r="G19">
        <v>200409</v>
      </c>
      <c r="H19">
        <v>0</v>
      </c>
      <c r="I19">
        <v>98304</v>
      </c>
      <c r="J19">
        <v>0</v>
      </c>
      <c r="K19">
        <v>1870</v>
      </c>
      <c r="L19">
        <v>36710328</v>
      </c>
    </row>
    <row r="20" spans="1:12" x14ac:dyDescent="0.4">
      <c r="A20" s="34">
        <v>19</v>
      </c>
      <c r="B20" t="s">
        <v>143</v>
      </c>
      <c r="C20" t="s">
        <v>161</v>
      </c>
      <c r="D20">
        <v>9.8256058180514796E+18</v>
      </c>
      <c r="E20" t="s">
        <v>5</v>
      </c>
      <c r="F20">
        <v>1280539</v>
      </c>
      <c r="G20">
        <v>196982</v>
      </c>
      <c r="H20">
        <v>0</v>
      </c>
      <c r="I20">
        <v>98304</v>
      </c>
      <c r="J20">
        <v>0</v>
      </c>
      <c r="K20">
        <v>1817</v>
      </c>
      <c r="L20">
        <v>36708498</v>
      </c>
    </row>
    <row r="21" spans="1:12" x14ac:dyDescent="0.4">
      <c r="A21" s="34">
        <v>20</v>
      </c>
      <c r="B21" t="s">
        <v>143</v>
      </c>
      <c r="C21" t="s">
        <v>162</v>
      </c>
      <c r="D21">
        <v>9.8256058180514796E+18</v>
      </c>
      <c r="E21" t="s">
        <v>5</v>
      </c>
      <c r="F21">
        <v>1280539</v>
      </c>
      <c r="G21">
        <v>194766</v>
      </c>
      <c r="H21">
        <v>0</v>
      </c>
      <c r="I21">
        <v>98304</v>
      </c>
      <c r="J21">
        <v>0</v>
      </c>
      <c r="K21">
        <v>1947</v>
      </c>
      <c r="L21">
        <v>36707038</v>
      </c>
    </row>
    <row r="22" spans="1:12" x14ac:dyDescent="0.4">
      <c r="A22" s="34">
        <v>21</v>
      </c>
      <c r="B22" t="s">
        <v>143</v>
      </c>
      <c r="C22" t="s">
        <v>163</v>
      </c>
      <c r="D22">
        <v>9.8256058180514796E+18</v>
      </c>
      <c r="E22" t="s">
        <v>5</v>
      </c>
      <c r="F22">
        <v>1280539</v>
      </c>
      <c r="G22">
        <v>199720</v>
      </c>
      <c r="H22">
        <v>0</v>
      </c>
      <c r="I22">
        <v>98304</v>
      </c>
      <c r="J22">
        <v>0</v>
      </c>
      <c r="K22">
        <v>1930</v>
      </c>
      <c r="L22">
        <v>36714325</v>
      </c>
    </row>
    <row r="23" spans="1:12" x14ac:dyDescent="0.4">
      <c r="A23" s="34">
        <v>22</v>
      </c>
      <c r="B23" t="s">
        <v>143</v>
      </c>
      <c r="C23" t="s">
        <v>164</v>
      </c>
      <c r="D23">
        <v>1.8789571719853599E+18</v>
      </c>
      <c r="E23" t="s">
        <v>5</v>
      </c>
      <c r="F23">
        <v>1297559</v>
      </c>
      <c r="G23">
        <v>199797</v>
      </c>
      <c r="H23">
        <v>0</v>
      </c>
      <c r="I23">
        <v>98304</v>
      </c>
      <c r="J23">
        <v>0</v>
      </c>
      <c r="K23">
        <v>1835</v>
      </c>
      <c r="L23">
        <v>36716731</v>
      </c>
    </row>
    <row r="24" spans="1:12" x14ac:dyDescent="0.4">
      <c r="A24" s="34">
        <v>23</v>
      </c>
      <c r="B24" t="s">
        <v>143</v>
      </c>
      <c r="C24" t="s">
        <v>165</v>
      </c>
      <c r="D24">
        <v>1.8789571719853599E+18</v>
      </c>
      <c r="E24" t="s">
        <v>5</v>
      </c>
      <c r="F24">
        <v>1297559</v>
      </c>
      <c r="G24">
        <v>195264</v>
      </c>
      <c r="H24">
        <v>0</v>
      </c>
      <c r="I24">
        <v>98304</v>
      </c>
      <c r="J24">
        <v>0</v>
      </c>
      <c r="K24">
        <v>1881</v>
      </c>
      <c r="L24">
        <v>36704384</v>
      </c>
    </row>
    <row r="25" spans="1:12" x14ac:dyDescent="0.4">
      <c r="A25" s="34">
        <v>24</v>
      </c>
      <c r="B25" t="s">
        <v>143</v>
      </c>
      <c r="C25" t="s">
        <v>166</v>
      </c>
      <c r="D25">
        <v>1.8789571719853599E+18</v>
      </c>
      <c r="E25" t="s">
        <v>5</v>
      </c>
      <c r="F25">
        <v>1297559</v>
      </c>
      <c r="G25">
        <v>197945</v>
      </c>
      <c r="H25">
        <v>0</v>
      </c>
      <c r="I25">
        <v>98304</v>
      </c>
      <c r="J25">
        <v>0</v>
      </c>
      <c r="K25">
        <v>1984</v>
      </c>
      <c r="L25">
        <v>36705713</v>
      </c>
    </row>
    <row r="26" spans="1:12" x14ac:dyDescent="0.4">
      <c r="A26" s="34">
        <v>25</v>
      </c>
      <c r="B26" t="s">
        <v>143</v>
      </c>
      <c r="C26" t="s">
        <v>167</v>
      </c>
      <c r="D26">
        <v>1.8789571719853599E+18</v>
      </c>
      <c r="E26" t="s">
        <v>5</v>
      </c>
      <c r="F26">
        <v>1297559</v>
      </c>
      <c r="G26">
        <v>187042</v>
      </c>
      <c r="H26">
        <v>0</v>
      </c>
      <c r="I26">
        <v>98304</v>
      </c>
      <c r="J26">
        <v>0</v>
      </c>
      <c r="K26">
        <v>1983</v>
      </c>
      <c r="L26">
        <v>36713856</v>
      </c>
    </row>
    <row r="27" spans="1:12" x14ac:dyDescent="0.4">
      <c r="A27" s="34">
        <v>26</v>
      </c>
      <c r="B27" t="s">
        <v>168</v>
      </c>
      <c r="C27" t="s">
        <v>169</v>
      </c>
      <c r="D27">
        <v>1.37756619989842E+19</v>
      </c>
      <c r="E27" t="s">
        <v>5</v>
      </c>
      <c r="F27">
        <v>1285461</v>
      </c>
      <c r="G27">
        <v>1</v>
      </c>
      <c r="H27">
        <v>1</v>
      </c>
      <c r="I27">
        <v>4</v>
      </c>
      <c r="J27">
        <v>0</v>
      </c>
      <c r="K27">
        <v>0</v>
      </c>
      <c r="L27">
        <v>43</v>
      </c>
    </row>
    <row r="28" spans="1:12" x14ac:dyDescent="0.4">
      <c r="A28" s="34">
        <v>27</v>
      </c>
      <c r="B28" t="s">
        <v>168</v>
      </c>
      <c r="C28" t="s">
        <v>170</v>
      </c>
      <c r="D28">
        <v>6.8555426884774605E+18</v>
      </c>
      <c r="E28" t="s">
        <v>5</v>
      </c>
      <c r="F28">
        <v>1256147</v>
      </c>
      <c r="G28">
        <v>1</v>
      </c>
      <c r="H28">
        <v>1</v>
      </c>
      <c r="I28">
        <v>4</v>
      </c>
      <c r="J28">
        <v>0</v>
      </c>
      <c r="K28">
        <v>2</v>
      </c>
      <c r="L28">
        <v>54</v>
      </c>
    </row>
    <row r="29" spans="1:12" x14ac:dyDescent="0.4">
      <c r="A29" s="34">
        <v>28</v>
      </c>
      <c r="B29" t="s">
        <v>168</v>
      </c>
      <c r="C29" t="s">
        <v>171</v>
      </c>
      <c r="D29">
        <v>2.7341003287548298E+18</v>
      </c>
      <c r="E29" t="s">
        <v>5</v>
      </c>
      <c r="F29">
        <v>1266633</v>
      </c>
      <c r="G29">
        <v>1</v>
      </c>
      <c r="H29">
        <v>1</v>
      </c>
      <c r="I29">
        <v>4</v>
      </c>
      <c r="J29">
        <v>0</v>
      </c>
      <c r="K29">
        <v>2</v>
      </c>
      <c r="L29">
        <v>53</v>
      </c>
    </row>
    <row r="30" spans="1:12" x14ac:dyDescent="0.4">
      <c r="A30" s="34">
        <v>29</v>
      </c>
      <c r="B30" t="s">
        <v>168</v>
      </c>
      <c r="C30" t="s">
        <v>172</v>
      </c>
      <c r="D30">
        <v>9.1832568818803702E+18</v>
      </c>
      <c r="E30" t="s">
        <v>5</v>
      </c>
      <c r="F30">
        <v>1285714</v>
      </c>
      <c r="G30">
        <v>1</v>
      </c>
      <c r="H30">
        <v>1</v>
      </c>
      <c r="I30">
        <v>4</v>
      </c>
      <c r="J30">
        <v>0</v>
      </c>
      <c r="K30">
        <v>2</v>
      </c>
      <c r="L30">
        <v>52</v>
      </c>
    </row>
    <row r="31" spans="1:12" x14ac:dyDescent="0.4">
      <c r="A31" s="34">
        <v>30</v>
      </c>
      <c r="B31" t="s">
        <v>168</v>
      </c>
      <c r="C31" t="s">
        <v>173</v>
      </c>
      <c r="D31">
        <v>9.8256058180514796E+18</v>
      </c>
      <c r="E31" t="s">
        <v>5</v>
      </c>
      <c r="F31">
        <v>1280539</v>
      </c>
      <c r="G31">
        <v>1</v>
      </c>
      <c r="H31">
        <v>1</v>
      </c>
      <c r="I31">
        <v>4</v>
      </c>
      <c r="J31">
        <v>0</v>
      </c>
      <c r="K31">
        <v>2</v>
      </c>
      <c r="L31">
        <v>57</v>
      </c>
    </row>
    <row r="32" spans="1:12" x14ac:dyDescent="0.4">
      <c r="A32" s="34">
        <v>31</v>
      </c>
      <c r="B32" t="s">
        <v>168</v>
      </c>
      <c r="C32" t="s">
        <v>174</v>
      </c>
      <c r="D32">
        <v>1.8789571719853599E+18</v>
      </c>
      <c r="E32" t="s">
        <v>5</v>
      </c>
      <c r="F32">
        <v>1297559</v>
      </c>
      <c r="G32">
        <v>3</v>
      </c>
      <c r="H32">
        <v>3</v>
      </c>
      <c r="I32">
        <v>12</v>
      </c>
      <c r="J32">
        <v>0</v>
      </c>
      <c r="K32">
        <v>26</v>
      </c>
      <c r="L32">
        <v>68</v>
      </c>
    </row>
    <row r="33" spans="1:12" x14ac:dyDescent="0.4">
      <c r="A33" s="34">
        <v>32</v>
      </c>
      <c r="B33" t="s">
        <v>175</v>
      </c>
      <c r="C33" t="s">
        <v>176</v>
      </c>
      <c r="D33">
        <v>1.37756619989842E+19</v>
      </c>
      <c r="E33" t="s">
        <v>5</v>
      </c>
      <c r="F33">
        <v>1285461</v>
      </c>
      <c r="G33">
        <v>1</v>
      </c>
      <c r="H33">
        <v>1</v>
      </c>
      <c r="I33">
        <v>4</v>
      </c>
      <c r="J33">
        <v>0</v>
      </c>
      <c r="K33">
        <v>0</v>
      </c>
      <c r="L33">
        <v>1</v>
      </c>
    </row>
    <row r="34" spans="1:12" x14ac:dyDescent="0.4">
      <c r="A34" s="34">
        <v>33</v>
      </c>
      <c r="B34" t="s">
        <v>175</v>
      </c>
      <c r="C34" t="s">
        <v>177</v>
      </c>
      <c r="D34">
        <v>6.8555426884774605E+18</v>
      </c>
      <c r="E34" t="s">
        <v>5</v>
      </c>
      <c r="F34">
        <v>1256147</v>
      </c>
      <c r="G34">
        <v>0</v>
      </c>
      <c r="H34">
        <v>0</v>
      </c>
      <c r="I34">
        <v>0</v>
      </c>
      <c r="J34">
        <v>0</v>
      </c>
      <c r="K34">
        <v>0</v>
      </c>
      <c r="L34">
        <v>0</v>
      </c>
    </row>
    <row r="35" spans="1:12" x14ac:dyDescent="0.4">
      <c r="A35" s="34">
        <v>34</v>
      </c>
      <c r="B35" t="s">
        <v>175</v>
      </c>
      <c r="C35" t="s">
        <v>178</v>
      </c>
      <c r="D35">
        <v>2.7341003287548298E+18</v>
      </c>
      <c r="E35" t="s">
        <v>5</v>
      </c>
      <c r="F35">
        <v>1266633</v>
      </c>
      <c r="G35">
        <v>1</v>
      </c>
      <c r="H35">
        <v>1</v>
      </c>
      <c r="I35">
        <v>4</v>
      </c>
      <c r="J35">
        <v>0</v>
      </c>
      <c r="K35">
        <v>0</v>
      </c>
      <c r="L35">
        <v>1</v>
      </c>
    </row>
    <row r="36" spans="1:12" x14ac:dyDescent="0.4">
      <c r="A36" s="34">
        <v>35</v>
      </c>
      <c r="B36" t="s">
        <v>175</v>
      </c>
      <c r="C36" t="s">
        <v>179</v>
      </c>
      <c r="D36">
        <v>9.1832568818803702E+18</v>
      </c>
      <c r="E36" t="s">
        <v>5</v>
      </c>
      <c r="F36">
        <v>1285714</v>
      </c>
      <c r="G36">
        <v>1</v>
      </c>
      <c r="H36">
        <v>1</v>
      </c>
      <c r="I36">
        <v>4</v>
      </c>
      <c r="J36">
        <v>0</v>
      </c>
      <c r="K36">
        <v>0</v>
      </c>
      <c r="L36">
        <v>2</v>
      </c>
    </row>
    <row r="37" spans="1:12" x14ac:dyDescent="0.4">
      <c r="A37" s="34">
        <v>36</v>
      </c>
      <c r="B37" t="s">
        <v>175</v>
      </c>
      <c r="C37" t="s">
        <v>180</v>
      </c>
      <c r="D37">
        <v>9.8256058180514796E+18</v>
      </c>
      <c r="E37" t="s">
        <v>5</v>
      </c>
      <c r="F37">
        <v>1280539</v>
      </c>
      <c r="G37">
        <v>1</v>
      </c>
      <c r="H37">
        <v>1</v>
      </c>
      <c r="I37">
        <v>4</v>
      </c>
      <c r="J37">
        <v>0</v>
      </c>
      <c r="K37">
        <v>0</v>
      </c>
      <c r="L37">
        <v>1</v>
      </c>
    </row>
    <row r="38" spans="1:12" x14ac:dyDescent="0.4">
      <c r="A38" s="34">
        <v>37</v>
      </c>
      <c r="B38" t="s">
        <v>175</v>
      </c>
      <c r="C38" t="s">
        <v>181</v>
      </c>
      <c r="D38">
        <v>1.8789571719853599E+18</v>
      </c>
      <c r="E38" t="s">
        <v>5</v>
      </c>
      <c r="F38">
        <v>1297559</v>
      </c>
      <c r="G38">
        <v>0</v>
      </c>
      <c r="H38">
        <v>0</v>
      </c>
      <c r="I38">
        <v>0</v>
      </c>
      <c r="J38">
        <v>0</v>
      </c>
      <c r="K38">
        <v>0</v>
      </c>
      <c r="L38">
        <v>0</v>
      </c>
    </row>
    <row r="39" spans="1:12" x14ac:dyDescent="0.4">
      <c r="A39" s="34">
        <v>38</v>
      </c>
      <c r="B39" t="s">
        <v>182</v>
      </c>
      <c r="C39" t="s">
        <v>183</v>
      </c>
      <c r="D39">
        <v>1.37756619989842E+19</v>
      </c>
      <c r="E39" t="s">
        <v>5</v>
      </c>
      <c r="F39">
        <v>1285461</v>
      </c>
      <c r="G39">
        <v>18924</v>
      </c>
      <c r="H39">
        <v>0</v>
      </c>
      <c r="I39">
        <v>37848</v>
      </c>
      <c r="J39">
        <v>0</v>
      </c>
      <c r="K39">
        <v>2016</v>
      </c>
      <c r="L39">
        <v>3519924</v>
      </c>
    </row>
    <row r="40" spans="1:12" x14ac:dyDescent="0.4">
      <c r="A40" s="34">
        <v>39</v>
      </c>
      <c r="B40" t="s">
        <v>182</v>
      </c>
      <c r="C40" t="s">
        <v>184</v>
      </c>
      <c r="D40">
        <v>6.8555426884774605E+18</v>
      </c>
      <c r="E40" t="s">
        <v>5</v>
      </c>
      <c r="F40">
        <v>1256147</v>
      </c>
      <c r="G40">
        <v>18974</v>
      </c>
      <c r="H40">
        <v>0</v>
      </c>
      <c r="I40">
        <v>37948</v>
      </c>
      <c r="J40">
        <v>0</v>
      </c>
      <c r="K40">
        <v>1793</v>
      </c>
      <c r="L40">
        <v>3525548</v>
      </c>
    </row>
    <row r="41" spans="1:12" x14ac:dyDescent="0.4">
      <c r="A41" s="34">
        <v>40</v>
      </c>
      <c r="B41" t="s">
        <v>182</v>
      </c>
      <c r="C41" t="s">
        <v>185</v>
      </c>
      <c r="D41">
        <v>2.7341003287548298E+18</v>
      </c>
      <c r="E41" t="s">
        <v>5</v>
      </c>
      <c r="F41">
        <v>1266633</v>
      </c>
      <c r="G41">
        <v>18936</v>
      </c>
      <c r="H41">
        <v>0</v>
      </c>
      <c r="I41">
        <v>37872</v>
      </c>
      <c r="J41">
        <v>0</v>
      </c>
      <c r="K41">
        <v>2015</v>
      </c>
      <c r="L41">
        <v>3523097</v>
      </c>
    </row>
    <row r="42" spans="1:12" x14ac:dyDescent="0.4">
      <c r="A42" s="34">
        <v>41</v>
      </c>
      <c r="B42" t="s">
        <v>182</v>
      </c>
      <c r="C42" t="s">
        <v>186</v>
      </c>
      <c r="D42">
        <v>9.1832568818803702E+18</v>
      </c>
      <c r="E42" t="s">
        <v>5</v>
      </c>
      <c r="F42">
        <v>1285714</v>
      </c>
      <c r="G42">
        <v>18933</v>
      </c>
      <c r="H42">
        <v>0</v>
      </c>
      <c r="I42">
        <v>37866</v>
      </c>
      <c r="J42">
        <v>0</v>
      </c>
      <c r="K42">
        <v>2032</v>
      </c>
      <c r="L42">
        <v>3523385</v>
      </c>
    </row>
    <row r="43" spans="1:12" x14ac:dyDescent="0.4">
      <c r="A43" s="34">
        <v>42</v>
      </c>
      <c r="B43" t="s">
        <v>182</v>
      </c>
      <c r="C43" t="s">
        <v>187</v>
      </c>
      <c r="D43">
        <v>9.8256058180514796E+18</v>
      </c>
      <c r="E43" t="s">
        <v>5</v>
      </c>
      <c r="F43">
        <v>1280539</v>
      </c>
      <c r="G43">
        <v>18960</v>
      </c>
      <c r="H43">
        <v>0</v>
      </c>
      <c r="I43">
        <v>37920</v>
      </c>
      <c r="J43">
        <v>0</v>
      </c>
      <c r="K43">
        <v>2027</v>
      </c>
      <c r="L43">
        <v>3524422</v>
      </c>
    </row>
    <row r="44" spans="1:12" x14ac:dyDescent="0.4">
      <c r="A44" s="34">
        <v>43</v>
      </c>
      <c r="B44" t="s">
        <v>182</v>
      </c>
      <c r="C44" t="s">
        <v>188</v>
      </c>
      <c r="D44">
        <v>1.8789571719853599E+18</v>
      </c>
      <c r="E44" t="s">
        <v>5</v>
      </c>
      <c r="F44">
        <v>1297559</v>
      </c>
      <c r="G44">
        <v>18905</v>
      </c>
      <c r="H44">
        <v>0</v>
      </c>
      <c r="I44">
        <v>37810</v>
      </c>
      <c r="J44">
        <v>0</v>
      </c>
      <c r="K44">
        <v>2015</v>
      </c>
      <c r="L44">
        <v>3519827</v>
      </c>
    </row>
    <row r="45" spans="1:12" x14ac:dyDescent="0.4">
      <c r="A45" s="34">
        <v>44</v>
      </c>
      <c r="B45" t="s">
        <v>189</v>
      </c>
      <c r="C45" t="s">
        <v>190</v>
      </c>
      <c r="D45">
        <v>1.37756619989842E+19</v>
      </c>
      <c r="E45" t="s">
        <v>5</v>
      </c>
      <c r="F45">
        <v>1285461</v>
      </c>
      <c r="G45">
        <v>2</v>
      </c>
      <c r="H45">
        <v>0</v>
      </c>
      <c r="I45">
        <v>4</v>
      </c>
      <c r="J45">
        <v>0</v>
      </c>
      <c r="K45">
        <v>3</v>
      </c>
      <c r="L45">
        <v>203</v>
      </c>
    </row>
    <row r="46" spans="1:12" x14ac:dyDescent="0.4">
      <c r="A46" s="34">
        <v>45</v>
      </c>
      <c r="B46" t="s">
        <v>189</v>
      </c>
      <c r="C46" t="s">
        <v>191</v>
      </c>
      <c r="D46">
        <v>6.8555426884774605E+18</v>
      </c>
      <c r="E46" t="s">
        <v>5</v>
      </c>
      <c r="F46">
        <v>1256140</v>
      </c>
      <c r="G46">
        <v>7</v>
      </c>
      <c r="H46">
        <v>0</v>
      </c>
      <c r="I46">
        <v>14</v>
      </c>
      <c r="J46">
        <v>0</v>
      </c>
      <c r="K46">
        <v>7</v>
      </c>
      <c r="L46">
        <v>220</v>
      </c>
    </row>
    <row r="47" spans="1:12" x14ac:dyDescent="0.4">
      <c r="A47" s="34">
        <v>46</v>
      </c>
      <c r="B47" t="s">
        <v>189</v>
      </c>
      <c r="C47" t="s">
        <v>192</v>
      </c>
      <c r="D47">
        <v>2.7341003287548298E+18</v>
      </c>
      <c r="E47" t="s">
        <v>5</v>
      </c>
      <c r="F47">
        <v>1266640</v>
      </c>
      <c r="G47">
        <v>2</v>
      </c>
      <c r="H47">
        <v>0</v>
      </c>
      <c r="I47">
        <v>4</v>
      </c>
      <c r="J47">
        <v>0</v>
      </c>
      <c r="K47">
        <v>3</v>
      </c>
      <c r="L47">
        <v>236</v>
      </c>
    </row>
    <row r="48" spans="1:12" x14ac:dyDescent="0.4">
      <c r="A48" s="34">
        <v>47</v>
      </c>
      <c r="B48" t="s">
        <v>189</v>
      </c>
      <c r="C48" t="s">
        <v>193</v>
      </c>
      <c r="D48">
        <v>9.1832568818803702E+18</v>
      </c>
      <c r="E48" t="s">
        <v>5</v>
      </c>
      <c r="F48">
        <v>1285714</v>
      </c>
      <c r="G48">
        <v>3</v>
      </c>
      <c r="H48">
        <v>0</v>
      </c>
      <c r="I48">
        <v>6</v>
      </c>
      <c r="J48">
        <v>0</v>
      </c>
      <c r="K48">
        <v>6</v>
      </c>
      <c r="L48">
        <v>234</v>
      </c>
    </row>
    <row r="49" spans="1:12" x14ac:dyDescent="0.4">
      <c r="A49" s="34">
        <v>48</v>
      </c>
      <c r="B49" t="s">
        <v>189</v>
      </c>
      <c r="C49" t="s">
        <v>194</v>
      </c>
      <c r="D49">
        <v>9.8256058180514796E+18</v>
      </c>
      <c r="E49" t="s">
        <v>5</v>
      </c>
      <c r="F49">
        <v>1280539</v>
      </c>
      <c r="G49">
        <v>3</v>
      </c>
      <c r="H49">
        <v>0</v>
      </c>
      <c r="I49">
        <v>6</v>
      </c>
      <c r="J49">
        <v>0</v>
      </c>
      <c r="K49">
        <v>4</v>
      </c>
      <c r="L49">
        <v>210</v>
      </c>
    </row>
    <row r="50" spans="1:12" x14ac:dyDescent="0.4">
      <c r="A50" s="34">
        <v>49</v>
      </c>
      <c r="B50" t="s">
        <v>189</v>
      </c>
      <c r="C50" t="s">
        <v>195</v>
      </c>
      <c r="D50">
        <v>1.8789571719853599E+18</v>
      </c>
      <c r="E50" t="s">
        <v>5</v>
      </c>
      <c r="F50">
        <v>1297559</v>
      </c>
      <c r="G50">
        <v>3</v>
      </c>
      <c r="H50">
        <v>0</v>
      </c>
      <c r="I50">
        <v>6</v>
      </c>
      <c r="J50">
        <v>0</v>
      </c>
      <c r="K50">
        <v>4</v>
      </c>
      <c r="L50">
        <v>202</v>
      </c>
    </row>
    <row r="51" spans="1:12" x14ac:dyDescent="0.4">
      <c r="A51" s="34">
        <v>50</v>
      </c>
      <c r="B51" t="s">
        <v>196</v>
      </c>
      <c r="C51" t="s">
        <v>197</v>
      </c>
      <c r="D51">
        <v>1.37756619989842E+19</v>
      </c>
      <c r="E51" t="s">
        <v>5</v>
      </c>
      <c r="F51">
        <v>1285461</v>
      </c>
      <c r="G51">
        <v>175606</v>
      </c>
      <c r="H51">
        <v>0</v>
      </c>
      <c r="I51">
        <v>98304</v>
      </c>
      <c r="J51">
        <v>0</v>
      </c>
      <c r="K51">
        <v>2029</v>
      </c>
      <c r="L51">
        <v>88592596</v>
      </c>
    </row>
    <row r="52" spans="1:12" x14ac:dyDescent="0.4">
      <c r="A52" s="34">
        <v>51</v>
      </c>
      <c r="B52" t="s">
        <v>196</v>
      </c>
      <c r="C52" t="s">
        <v>198</v>
      </c>
      <c r="D52">
        <v>1.37756619989842E+19</v>
      </c>
      <c r="E52" t="s">
        <v>5</v>
      </c>
      <c r="F52">
        <v>1285461</v>
      </c>
      <c r="G52">
        <v>174669</v>
      </c>
      <c r="H52">
        <v>0</v>
      </c>
      <c r="I52">
        <v>98304</v>
      </c>
      <c r="J52">
        <v>0</v>
      </c>
      <c r="K52">
        <v>2031</v>
      </c>
      <c r="L52">
        <v>88607884</v>
      </c>
    </row>
    <row r="53" spans="1:12" x14ac:dyDescent="0.4">
      <c r="A53" s="34">
        <v>52</v>
      </c>
      <c r="B53" t="s">
        <v>196</v>
      </c>
      <c r="C53" t="s">
        <v>199</v>
      </c>
      <c r="D53">
        <v>1.37756619989842E+19</v>
      </c>
      <c r="E53" t="s">
        <v>5</v>
      </c>
      <c r="F53">
        <v>1285461</v>
      </c>
      <c r="G53">
        <v>174184</v>
      </c>
      <c r="H53">
        <v>0</v>
      </c>
      <c r="I53">
        <v>98304</v>
      </c>
      <c r="J53">
        <v>0</v>
      </c>
      <c r="K53">
        <v>2006</v>
      </c>
      <c r="L53">
        <v>88572907</v>
      </c>
    </row>
    <row r="54" spans="1:12" x14ac:dyDescent="0.4">
      <c r="A54" s="34">
        <v>53</v>
      </c>
      <c r="B54" t="s">
        <v>196</v>
      </c>
      <c r="C54" t="s">
        <v>200</v>
      </c>
      <c r="D54">
        <v>1.37756619989842E+19</v>
      </c>
      <c r="E54" t="s">
        <v>5</v>
      </c>
      <c r="F54">
        <v>1285461</v>
      </c>
      <c r="G54">
        <v>174249</v>
      </c>
      <c r="H54">
        <v>0</v>
      </c>
      <c r="I54">
        <v>98304</v>
      </c>
      <c r="J54">
        <v>0</v>
      </c>
      <c r="K54">
        <v>2039</v>
      </c>
      <c r="L54">
        <v>88602528</v>
      </c>
    </row>
    <row r="55" spans="1:12" x14ac:dyDescent="0.4">
      <c r="A55" s="34">
        <v>54</v>
      </c>
      <c r="B55" t="s">
        <v>196</v>
      </c>
      <c r="C55" t="s">
        <v>201</v>
      </c>
      <c r="D55">
        <v>6.8555426884774605E+18</v>
      </c>
      <c r="E55" t="s">
        <v>5</v>
      </c>
      <c r="F55">
        <v>1256142</v>
      </c>
      <c r="G55">
        <v>179195</v>
      </c>
      <c r="H55">
        <v>0</v>
      </c>
      <c r="I55">
        <v>98304</v>
      </c>
      <c r="J55">
        <v>0</v>
      </c>
      <c r="K55">
        <v>1805</v>
      </c>
      <c r="L55">
        <v>88585906</v>
      </c>
    </row>
    <row r="56" spans="1:12" x14ac:dyDescent="0.4">
      <c r="A56" s="34">
        <v>55</v>
      </c>
      <c r="B56" t="s">
        <v>196</v>
      </c>
      <c r="C56" t="s">
        <v>202</v>
      </c>
      <c r="D56">
        <v>6.8555426884774605E+18</v>
      </c>
      <c r="E56" t="s">
        <v>5</v>
      </c>
      <c r="F56">
        <v>1256142</v>
      </c>
      <c r="G56">
        <v>174530</v>
      </c>
      <c r="H56">
        <v>0</v>
      </c>
      <c r="I56">
        <v>98304</v>
      </c>
      <c r="J56">
        <v>0</v>
      </c>
      <c r="K56">
        <v>2016</v>
      </c>
      <c r="L56">
        <v>88589859</v>
      </c>
    </row>
    <row r="57" spans="1:12" x14ac:dyDescent="0.4">
      <c r="A57" s="34">
        <v>56</v>
      </c>
      <c r="B57" t="s">
        <v>196</v>
      </c>
      <c r="C57" t="s">
        <v>203</v>
      </c>
      <c r="D57">
        <v>6.8555426884774605E+18</v>
      </c>
      <c r="E57" t="s">
        <v>5</v>
      </c>
      <c r="F57">
        <v>1256142</v>
      </c>
      <c r="G57">
        <v>172295</v>
      </c>
      <c r="H57">
        <v>0</v>
      </c>
      <c r="I57">
        <v>98304</v>
      </c>
      <c r="J57">
        <v>0</v>
      </c>
      <c r="K57">
        <v>2010</v>
      </c>
      <c r="L57">
        <v>88587672</v>
      </c>
    </row>
    <row r="58" spans="1:12" x14ac:dyDescent="0.4">
      <c r="A58" s="34">
        <v>57</v>
      </c>
      <c r="B58" t="s">
        <v>196</v>
      </c>
      <c r="C58" t="s">
        <v>204</v>
      </c>
      <c r="D58">
        <v>6.8555426884774605E+18</v>
      </c>
      <c r="E58" t="s">
        <v>5</v>
      </c>
      <c r="F58">
        <v>1256142</v>
      </c>
      <c r="G58">
        <v>173756</v>
      </c>
      <c r="H58">
        <v>0</v>
      </c>
      <c r="I58">
        <v>98304</v>
      </c>
      <c r="J58">
        <v>0</v>
      </c>
      <c r="K58">
        <v>2023</v>
      </c>
      <c r="L58">
        <v>88590496</v>
      </c>
    </row>
    <row r="59" spans="1:12" x14ac:dyDescent="0.4">
      <c r="A59" s="34">
        <v>58</v>
      </c>
      <c r="B59" t="s">
        <v>196</v>
      </c>
      <c r="C59" t="s">
        <v>205</v>
      </c>
      <c r="D59">
        <v>2.7341003287548298E+18</v>
      </c>
      <c r="E59" t="s">
        <v>5</v>
      </c>
      <c r="F59">
        <v>1266640</v>
      </c>
      <c r="G59">
        <v>179053</v>
      </c>
      <c r="H59">
        <v>0</v>
      </c>
      <c r="I59">
        <v>98304</v>
      </c>
      <c r="J59">
        <v>0</v>
      </c>
      <c r="K59">
        <v>2042</v>
      </c>
      <c r="L59">
        <v>88603980</v>
      </c>
    </row>
    <row r="60" spans="1:12" x14ac:dyDescent="0.4">
      <c r="A60" s="34">
        <v>59</v>
      </c>
      <c r="B60" t="s">
        <v>196</v>
      </c>
      <c r="C60" t="s">
        <v>206</v>
      </c>
      <c r="D60">
        <v>2.7341003287548298E+18</v>
      </c>
      <c r="E60" t="s">
        <v>5</v>
      </c>
      <c r="F60">
        <v>1266640</v>
      </c>
      <c r="G60">
        <v>171755</v>
      </c>
      <c r="H60">
        <v>0</v>
      </c>
      <c r="I60">
        <v>98304</v>
      </c>
      <c r="J60">
        <v>0</v>
      </c>
      <c r="K60">
        <v>2030</v>
      </c>
      <c r="L60">
        <v>88579099</v>
      </c>
    </row>
    <row r="61" spans="1:12" x14ac:dyDescent="0.4">
      <c r="A61" s="34">
        <v>60</v>
      </c>
      <c r="B61" t="s">
        <v>196</v>
      </c>
      <c r="C61" t="s">
        <v>207</v>
      </c>
      <c r="D61">
        <v>2.7341003287548298E+18</v>
      </c>
      <c r="E61" t="s">
        <v>5</v>
      </c>
      <c r="F61">
        <v>1266640</v>
      </c>
      <c r="G61">
        <v>184114</v>
      </c>
      <c r="H61">
        <v>0</v>
      </c>
      <c r="I61">
        <v>98304</v>
      </c>
      <c r="J61">
        <v>0</v>
      </c>
      <c r="K61">
        <v>1991</v>
      </c>
      <c r="L61">
        <v>88592528</v>
      </c>
    </row>
    <row r="62" spans="1:12" x14ac:dyDescent="0.4">
      <c r="A62" s="34">
        <v>61</v>
      </c>
      <c r="B62" t="s">
        <v>196</v>
      </c>
      <c r="C62" t="s">
        <v>208</v>
      </c>
      <c r="D62">
        <v>2.7341003287548298E+18</v>
      </c>
      <c r="E62" t="s">
        <v>5</v>
      </c>
      <c r="F62">
        <v>1266640</v>
      </c>
      <c r="G62">
        <v>173786</v>
      </c>
      <c r="H62">
        <v>0</v>
      </c>
      <c r="I62">
        <v>98304</v>
      </c>
      <c r="J62">
        <v>0</v>
      </c>
      <c r="K62">
        <v>2010</v>
      </c>
      <c r="L62">
        <v>88570179</v>
      </c>
    </row>
    <row r="63" spans="1:12" x14ac:dyDescent="0.4">
      <c r="A63" s="34">
        <v>62</v>
      </c>
      <c r="B63" t="s">
        <v>196</v>
      </c>
      <c r="C63" t="s">
        <v>209</v>
      </c>
      <c r="D63">
        <v>9.1832568818803702E+18</v>
      </c>
      <c r="E63" t="s">
        <v>5</v>
      </c>
      <c r="F63">
        <v>1285714</v>
      </c>
      <c r="G63">
        <v>173453</v>
      </c>
      <c r="H63">
        <v>0</v>
      </c>
      <c r="I63">
        <v>98304</v>
      </c>
      <c r="J63">
        <v>0</v>
      </c>
      <c r="K63">
        <v>1999</v>
      </c>
      <c r="L63">
        <v>88600717</v>
      </c>
    </row>
    <row r="64" spans="1:12" x14ac:dyDescent="0.4">
      <c r="A64" s="34">
        <v>63</v>
      </c>
      <c r="B64" t="s">
        <v>196</v>
      </c>
      <c r="C64" t="s">
        <v>210</v>
      </c>
      <c r="D64">
        <v>9.1832568818803702E+18</v>
      </c>
      <c r="E64" t="s">
        <v>5</v>
      </c>
      <c r="F64">
        <v>1285714</v>
      </c>
      <c r="G64">
        <v>174594</v>
      </c>
      <c r="H64">
        <v>0</v>
      </c>
      <c r="I64">
        <v>98304</v>
      </c>
      <c r="J64">
        <v>0</v>
      </c>
      <c r="K64">
        <v>2007</v>
      </c>
      <c r="L64">
        <v>88603453</v>
      </c>
    </row>
    <row r="65" spans="1:12" x14ac:dyDescent="0.4">
      <c r="A65" s="34">
        <v>64</v>
      </c>
      <c r="B65" t="s">
        <v>196</v>
      </c>
      <c r="C65" t="s">
        <v>211</v>
      </c>
      <c r="D65">
        <v>9.1832568818803702E+18</v>
      </c>
      <c r="E65" t="s">
        <v>5</v>
      </c>
      <c r="F65">
        <v>1285714</v>
      </c>
      <c r="G65">
        <v>170232</v>
      </c>
      <c r="H65">
        <v>0</v>
      </c>
      <c r="I65">
        <v>98304</v>
      </c>
      <c r="J65">
        <v>0</v>
      </c>
      <c r="K65">
        <v>1952</v>
      </c>
      <c r="L65">
        <v>88565254</v>
      </c>
    </row>
    <row r="66" spans="1:12" x14ac:dyDescent="0.4">
      <c r="A66" s="34">
        <v>65</v>
      </c>
      <c r="B66" t="s">
        <v>196</v>
      </c>
      <c r="C66" t="s">
        <v>212</v>
      </c>
      <c r="D66">
        <v>9.1832568818803702E+18</v>
      </c>
      <c r="E66" t="s">
        <v>5</v>
      </c>
      <c r="F66">
        <v>1285714</v>
      </c>
      <c r="G66">
        <v>179521</v>
      </c>
      <c r="H66">
        <v>0</v>
      </c>
      <c r="I66">
        <v>98304</v>
      </c>
      <c r="J66">
        <v>0</v>
      </c>
      <c r="K66">
        <v>1991</v>
      </c>
      <c r="L66">
        <v>88601643</v>
      </c>
    </row>
    <row r="67" spans="1:12" x14ac:dyDescent="0.4">
      <c r="A67" s="34">
        <v>66</v>
      </c>
      <c r="B67" t="s">
        <v>196</v>
      </c>
      <c r="C67" t="s">
        <v>213</v>
      </c>
      <c r="D67">
        <v>9.8256058180514796E+18</v>
      </c>
      <c r="E67" t="s">
        <v>5</v>
      </c>
      <c r="F67">
        <v>1280539</v>
      </c>
      <c r="G67">
        <v>170723</v>
      </c>
      <c r="H67">
        <v>0</v>
      </c>
      <c r="I67">
        <v>98304</v>
      </c>
      <c r="J67">
        <v>0</v>
      </c>
      <c r="K67">
        <v>2008</v>
      </c>
      <c r="L67">
        <v>88569009</v>
      </c>
    </row>
    <row r="68" spans="1:12" x14ac:dyDescent="0.4">
      <c r="A68" s="34">
        <v>67</v>
      </c>
      <c r="B68" t="s">
        <v>196</v>
      </c>
      <c r="C68" t="s">
        <v>214</v>
      </c>
      <c r="D68">
        <v>9.8256058180514796E+18</v>
      </c>
      <c r="E68" t="s">
        <v>5</v>
      </c>
      <c r="F68">
        <v>1280539</v>
      </c>
      <c r="G68">
        <v>172373</v>
      </c>
      <c r="H68">
        <v>0</v>
      </c>
      <c r="I68">
        <v>98304</v>
      </c>
      <c r="J68">
        <v>0</v>
      </c>
      <c r="K68">
        <v>2006</v>
      </c>
      <c r="L68">
        <v>88597631</v>
      </c>
    </row>
    <row r="69" spans="1:12" x14ac:dyDescent="0.4">
      <c r="A69" s="34">
        <v>68</v>
      </c>
      <c r="B69" t="s">
        <v>196</v>
      </c>
      <c r="C69" t="s">
        <v>215</v>
      </c>
      <c r="D69">
        <v>9.8256058180514796E+18</v>
      </c>
      <c r="E69" t="s">
        <v>5</v>
      </c>
      <c r="F69">
        <v>1280539</v>
      </c>
      <c r="G69">
        <v>172359</v>
      </c>
      <c r="H69">
        <v>0</v>
      </c>
      <c r="I69">
        <v>98304</v>
      </c>
      <c r="J69">
        <v>0</v>
      </c>
      <c r="K69">
        <v>1976</v>
      </c>
      <c r="L69">
        <v>88607819</v>
      </c>
    </row>
    <row r="70" spans="1:12" x14ac:dyDescent="0.4">
      <c r="A70" s="34">
        <v>69</v>
      </c>
      <c r="B70" t="s">
        <v>196</v>
      </c>
      <c r="C70" t="s">
        <v>216</v>
      </c>
      <c r="D70">
        <v>9.8256058180514796E+18</v>
      </c>
      <c r="E70" t="s">
        <v>5</v>
      </c>
      <c r="F70">
        <v>1280539</v>
      </c>
      <c r="G70">
        <v>183001</v>
      </c>
      <c r="H70">
        <v>0</v>
      </c>
      <c r="I70">
        <v>98304</v>
      </c>
      <c r="J70">
        <v>0</v>
      </c>
      <c r="K70">
        <v>1996</v>
      </c>
      <c r="L70">
        <v>88582715</v>
      </c>
    </row>
    <row r="71" spans="1:12" x14ac:dyDescent="0.4">
      <c r="A71" s="34">
        <v>70</v>
      </c>
      <c r="B71" t="s">
        <v>196</v>
      </c>
      <c r="C71" t="s">
        <v>217</v>
      </c>
      <c r="D71">
        <v>1.8789571719853599E+18</v>
      </c>
      <c r="E71" t="s">
        <v>5</v>
      </c>
      <c r="F71">
        <v>1297559</v>
      </c>
      <c r="G71">
        <v>174021</v>
      </c>
      <c r="H71">
        <v>0</v>
      </c>
      <c r="I71">
        <v>98304</v>
      </c>
      <c r="J71">
        <v>0</v>
      </c>
      <c r="K71">
        <v>1810</v>
      </c>
      <c r="L71">
        <v>88590617</v>
      </c>
    </row>
    <row r="72" spans="1:12" x14ac:dyDescent="0.4">
      <c r="A72" s="34">
        <v>71</v>
      </c>
      <c r="B72" t="s">
        <v>196</v>
      </c>
      <c r="C72" t="s">
        <v>218</v>
      </c>
      <c r="D72">
        <v>1.8789571719853599E+18</v>
      </c>
      <c r="E72" t="s">
        <v>5</v>
      </c>
      <c r="F72">
        <v>1297559</v>
      </c>
      <c r="G72">
        <v>170192</v>
      </c>
      <c r="H72">
        <v>0</v>
      </c>
      <c r="I72">
        <v>98304</v>
      </c>
      <c r="J72">
        <v>0</v>
      </c>
      <c r="K72">
        <v>2015</v>
      </c>
      <c r="L72">
        <v>88599229</v>
      </c>
    </row>
    <row r="73" spans="1:12" x14ac:dyDescent="0.4">
      <c r="A73" s="34">
        <v>72</v>
      </c>
      <c r="B73" t="s">
        <v>196</v>
      </c>
      <c r="C73" t="s">
        <v>219</v>
      </c>
      <c r="D73">
        <v>1.8789571719853599E+18</v>
      </c>
      <c r="E73" t="s">
        <v>5</v>
      </c>
      <c r="F73">
        <v>1297559</v>
      </c>
      <c r="G73">
        <v>173405</v>
      </c>
      <c r="H73">
        <v>0</v>
      </c>
      <c r="I73">
        <v>98304</v>
      </c>
      <c r="J73">
        <v>0</v>
      </c>
      <c r="K73">
        <v>1841</v>
      </c>
      <c r="L73">
        <v>88587580</v>
      </c>
    </row>
    <row r="74" spans="1:12" x14ac:dyDescent="0.4">
      <c r="A74" s="34">
        <v>73</v>
      </c>
      <c r="B74" t="s">
        <v>196</v>
      </c>
      <c r="C74" t="s">
        <v>220</v>
      </c>
      <c r="D74">
        <v>1.8789571719853599E+18</v>
      </c>
      <c r="E74" t="s">
        <v>5</v>
      </c>
      <c r="F74">
        <v>1297559</v>
      </c>
      <c r="G74">
        <v>176236</v>
      </c>
      <c r="H74">
        <v>0</v>
      </c>
      <c r="I74">
        <v>98304</v>
      </c>
      <c r="J74">
        <v>0</v>
      </c>
      <c r="K74">
        <v>1984</v>
      </c>
      <c r="L74">
        <v>88613147</v>
      </c>
    </row>
    <row r="75" spans="1:12" x14ac:dyDescent="0.4">
      <c r="A75" s="34">
        <v>74</v>
      </c>
      <c r="B75" t="s">
        <v>221</v>
      </c>
      <c r="C75" t="s">
        <v>222</v>
      </c>
      <c r="D75">
        <v>1.37756619989842E+19</v>
      </c>
      <c r="E75" t="s">
        <v>5</v>
      </c>
      <c r="F75">
        <v>1285461</v>
      </c>
      <c r="G75">
        <v>1</v>
      </c>
      <c r="H75">
        <v>1</v>
      </c>
      <c r="I75">
        <v>4</v>
      </c>
      <c r="J75">
        <v>0</v>
      </c>
      <c r="K75">
        <v>0</v>
      </c>
      <c r="L75">
        <v>39</v>
      </c>
    </row>
    <row r="76" spans="1:12" x14ac:dyDescent="0.4">
      <c r="A76" s="34">
        <v>75</v>
      </c>
      <c r="B76" t="s">
        <v>221</v>
      </c>
      <c r="C76" t="s">
        <v>223</v>
      </c>
      <c r="D76">
        <v>6.8555426884774605E+18</v>
      </c>
      <c r="E76" t="s">
        <v>5</v>
      </c>
      <c r="F76">
        <v>1256147</v>
      </c>
      <c r="G76">
        <v>1</v>
      </c>
      <c r="H76">
        <v>1</v>
      </c>
      <c r="I76">
        <v>4</v>
      </c>
      <c r="J76">
        <v>0</v>
      </c>
      <c r="K76">
        <v>2</v>
      </c>
      <c r="L76">
        <v>41</v>
      </c>
    </row>
    <row r="77" spans="1:12" x14ac:dyDescent="0.4">
      <c r="A77" s="34">
        <v>76</v>
      </c>
      <c r="B77" t="s">
        <v>221</v>
      </c>
      <c r="C77" t="s">
        <v>224</v>
      </c>
      <c r="D77">
        <v>2.7341003287548298E+18</v>
      </c>
      <c r="E77" t="s">
        <v>5</v>
      </c>
      <c r="F77">
        <v>1266633</v>
      </c>
      <c r="G77">
        <v>1</v>
      </c>
      <c r="H77">
        <v>1</v>
      </c>
      <c r="I77">
        <v>4</v>
      </c>
      <c r="J77">
        <v>0</v>
      </c>
      <c r="K77">
        <v>0</v>
      </c>
      <c r="L77">
        <v>39</v>
      </c>
    </row>
    <row r="78" spans="1:12" x14ac:dyDescent="0.4">
      <c r="A78" s="34">
        <v>77</v>
      </c>
      <c r="B78" t="s">
        <v>221</v>
      </c>
      <c r="C78" t="s">
        <v>225</v>
      </c>
      <c r="D78">
        <v>9.1832568818803702E+18</v>
      </c>
      <c r="E78" t="s">
        <v>5</v>
      </c>
      <c r="F78">
        <v>1285714</v>
      </c>
      <c r="G78">
        <v>1</v>
      </c>
      <c r="H78">
        <v>1</v>
      </c>
      <c r="I78">
        <v>4</v>
      </c>
      <c r="J78">
        <v>0</v>
      </c>
      <c r="K78">
        <v>0</v>
      </c>
      <c r="L78">
        <v>46</v>
      </c>
    </row>
    <row r="79" spans="1:12" x14ac:dyDescent="0.4">
      <c r="A79" s="34">
        <v>78</v>
      </c>
      <c r="B79" t="s">
        <v>221</v>
      </c>
      <c r="C79" t="s">
        <v>226</v>
      </c>
      <c r="D79">
        <v>9.8256058180514796E+18</v>
      </c>
      <c r="E79" t="s">
        <v>5</v>
      </c>
      <c r="F79">
        <v>1280539</v>
      </c>
      <c r="G79">
        <v>1</v>
      </c>
      <c r="H79">
        <v>1</v>
      </c>
      <c r="I79">
        <v>4</v>
      </c>
      <c r="J79">
        <v>0</v>
      </c>
      <c r="K79">
        <v>0</v>
      </c>
      <c r="L79">
        <v>44</v>
      </c>
    </row>
    <row r="80" spans="1:12" x14ac:dyDescent="0.4">
      <c r="A80" s="34">
        <v>79</v>
      </c>
      <c r="B80" t="s">
        <v>221</v>
      </c>
      <c r="C80" t="s">
        <v>227</v>
      </c>
      <c r="D80">
        <v>1.8789571719853599E+18</v>
      </c>
      <c r="E80" t="s">
        <v>5</v>
      </c>
      <c r="F80">
        <v>1297559</v>
      </c>
      <c r="G80">
        <v>1</v>
      </c>
      <c r="H80">
        <v>1</v>
      </c>
      <c r="I80">
        <v>4</v>
      </c>
      <c r="J80">
        <v>0</v>
      </c>
      <c r="K80">
        <v>6</v>
      </c>
      <c r="L80">
        <v>61</v>
      </c>
    </row>
    <row r="81" spans="1:12" x14ac:dyDescent="0.4">
      <c r="A81" s="34">
        <v>80</v>
      </c>
      <c r="B81" t="s">
        <v>228</v>
      </c>
      <c r="C81" t="s">
        <v>229</v>
      </c>
      <c r="D81">
        <v>1.37756619989842E+19</v>
      </c>
      <c r="E81" t="s">
        <v>5</v>
      </c>
      <c r="F81">
        <v>1285461</v>
      </c>
      <c r="G81">
        <v>1</v>
      </c>
      <c r="H81">
        <v>1</v>
      </c>
      <c r="I81">
        <v>4</v>
      </c>
      <c r="J81">
        <v>0</v>
      </c>
      <c r="K81">
        <v>0</v>
      </c>
      <c r="L81">
        <v>1</v>
      </c>
    </row>
    <row r="82" spans="1:12" x14ac:dyDescent="0.4">
      <c r="A82" s="34">
        <v>81</v>
      </c>
      <c r="B82" t="s">
        <v>228</v>
      </c>
      <c r="C82" t="s">
        <v>230</v>
      </c>
      <c r="D82">
        <v>6.8555426884774605E+18</v>
      </c>
      <c r="E82" t="s">
        <v>5</v>
      </c>
      <c r="F82">
        <v>1256139</v>
      </c>
      <c r="G82">
        <v>0</v>
      </c>
      <c r="H82">
        <v>0</v>
      </c>
      <c r="I82">
        <v>0</v>
      </c>
      <c r="J82">
        <v>0</v>
      </c>
      <c r="K82">
        <v>0</v>
      </c>
      <c r="L82">
        <v>0</v>
      </c>
    </row>
    <row r="83" spans="1:12" x14ac:dyDescent="0.4">
      <c r="A83" s="34">
        <v>82</v>
      </c>
      <c r="B83" t="s">
        <v>228</v>
      </c>
      <c r="C83" t="s">
        <v>231</v>
      </c>
      <c r="D83">
        <v>2.7341003287548298E+18</v>
      </c>
      <c r="E83" t="s">
        <v>5</v>
      </c>
      <c r="F83">
        <v>1266640</v>
      </c>
      <c r="G83">
        <v>1</v>
      </c>
      <c r="H83">
        <v>1</v>
      </c>
      <c r="I83">
        <v>4</v>
      </c>
      <c r="J83">
        <v>0</v>
      </c>
      <c r="K83">
        <v>0</v>
      </c>
      <c r="L83">
        <v>1</v>
      </c>
    </row>
    <row r="84" spans="1:12" x14ac:dyDescent="0.4">
      <c r="A84" s="34">
        <v>83</v>
      </c>
      <c r="B84" t="s">
        <v>228</v>
      </c>
      <c r="C84" t="s">
        <v>232</v>
      </c>
      <c r="D84">
        <v>9.1832568818803702E+18</v>
      </c>
      <c r="E84" t="s">
        <v>5</v>
      </c>
      <c r="F84">
        <v>1285714</v>
      </c>
      <c r="G84">
        <v>1</v>
      </c>
      <c r="H84">
        <v>1</v>
      </c>
      <c r="I84">
        <v>4</v>
      </c>
      <c r="J84">
        <v>0</v>
      </c>
      <c r="K84">
        <v>0</v>
      </c>
      <c r="L84">
        <v>2</v>
      </c>
    </row>
    <row r="85" spans="1:12" x14ac:dyDescent="0.4">
      <c r="A85" s="34">
        <v>84</v>
      </c>
      <c r="B85" t="s">
        <v>228</v>
      </c>
      <c r="C85" t="s">
        <v>233</v>
      </c>
      <c r="D85">
        <v>9.8256058180514796E+18</v>
      </c>
      <c r="E85" t="s">
        <v>5</v>
      </c>
      <c r="F85">
        <v>1280539</v>
      </c>
      <c r="G85">
        <v>1</v>
      </c>
      <c r="H85">
        <v>1</v>
      </c>
      <c r="I85">
        <v>4</v>
      </c>
      <c r="J85">
        <v>0</v>
      </c>
      <c r="K85">
        <v>0</v>
      </c>
      <c r="L85">
        <v>1</v>
      </c>
    </row>
    <row r="86" spans="1:12" x14ac:dyDescent="0.4">
      <c r="A86" s="34">
        <v>85</v>
      </c>
      <c r="B86" t="s">
        <v>228</v>
      </c>
      <c r="C86" t="s">
        <v>234</v>
      </c>
      <c r="D86">
        <v>1.8789571719853599E+18</v>
      </c>
      <c r="E86" t="s">
        <v>5</v>
      </c>
      <c r="F86">
        <v>1297559</v>
      </c>
      <c r="G86">
        <v>0</v>
      </c>
      <c r="H86">
        <v>0</v>
      </c>
      <c r="I86">
        <v>0</v>
      </c>
      <c r="J86">
        <v>0</v>
      </c>
      <c r="K86">
        <v>0</v>
      </c>
      <c r="L86">
        <v>0</v>
      </c>
    </row>
    <row r="87" spans="1:12" x14ac:dyDescent="0.4">
      <c r="A87" s="34">
        <v>86</v>
      </c>
      <c r="B87" t="s">
        <v>235</v>
      </c>
      <c r="C87" t="s">
        <v>236</v>
      </c>
      <c r="D87">
        <v>1.37756619989842E+19</v>
      </c>
      <c r="E87" t="s">
        <v>5</v>
      </c>
      <c r="F87">
        <v>1285461</v>
      </c>
      <c r="G87">
        <v>0</v>
      </c>
      <c r="H87">
        <v>0</v>
      </c>
      <c r="I87">
        <v>0</v>
      </c>
      <c r="J87">
        <v>0</v>
      </c>
      <c r="K87">
        <v>0</v>
      </c>
      <c r="L87">
        <v>0</v>
      </c>
    </row>
    <row r="88" spans="1:12" x14ac:dyDescent="0.4">
      <c r="A88" s="34">
        <v>87</v>
      </c>
      <c r="B88" t="s">
        <v>235</v>
      </c>
      <c r="C88" t="s">
        <v>237</v>
      </c>
      <c r="D88">
        <v>6.8555426884774605E+18</v>
      </c>
      <c r="E88" t="s">
        <v>5</v>
      </c>
      <c r="F88">
        <v>1256140</v>
      </c>
      <c r="G88">
        <v>0</v>
      </c>
      <c r="H88">
        <v>0</v>
      </c>
      <c r="I88">
        <v>0</v>
      </c>
      <c r="J88">
        <v>0</v>
      </c>
      <c r="K88">
        <v>0</v>
      </c>
      <c r="L88">
        <v>0</v>
      </c>
    </row>
    <row r="89" spans="1:12" x14ac:dyDescent="0.4">
      <c r="A89" s="34">
        <v>88</v>
      </c>
      <c r="B89" t="s">
        <v>235</v>
      </c>
      <c r="C89" t="s">
        <v>238</v>
      </c>
      <c r="D89">
        <v>2.7341003287548298E+18</v>
      </c>
      <c r="E89" t="s">
        <v>5</v>
      </c>
      <c r="F89">
        <v>1266640</v>
      </c>
      <c r="G89">
        <v>0</v>
      </c>
      <c r="H89">
        <v>0</v>
      </c>
      <c r="I89">
        <v>0</v>
      </c>
      <c r="J89">
        <v>0</v>
      </c>
      <c r="K89">
        <v>0</v>
      </c>
      <c r="L89">
        <v>0</v>
      </c>
    </row>
    <row r="90" spans="1:12" x14ac:dyDescent="0.4">
      <c r="A90" s="34">
        <v>89</v>
      </c>
      <c r="B90" t="s">
        <v>235</v>
      </c>
      <c r="C90" t="s">
        <v>239</v>
      </c>
      <c r="D90">
        <v>9.1832568818803702E+18</v>
      </c>
      <c r="E90" t="s">
        <v>5</v>
      </c>
      <c r="F90">
        <v>1285714</v>
      </c>
      <c r="G90">
        <v>0</v>
      </c>
      <c r="H90">
        <v>0</v>
      </c>
      <c r="I90">
        <v>0</v>
      </c>
      <c r="J90">
        <v>0</v>
      </c>
      <c r="K90">
        <v>0</v>
      </c>
      <c r="L90">
        <v>0</v>
      </c>
    </row>
    <row r="91" spans="1:12" x14ac:dyDescent="0.4">
      <c r="A91" s="34">
        <v>90</v>
      </c>
      <c r="B91" t="s">
        <v>235</v>
      </c>
      <c r="C91" t="s">
        <v>240</v>
      </c>
      <c r="D91">
        <v>9.8256058180514796E+18</v>
      </c>
      <c r="E91" t="s">
        <v>5</v>
      </c>
      <c r="F91">
        <v>1280539</v>
      </c>
      <c r="G91">
        <v>0</v>
      </c>
      <c r="H91">
        <v>0</v>
      </c>
      <c r="I91">
        <v>0</v>
      </c>
      <c r="J91">
        <v>0</v>
      </c>
      <c r="K91">
        <v>0</v>
      </c>
      <c r="L91">
        <v>0</v>
      </c>
    </row>
    <row r="92" spans="1:12" x14ac:dyDescent="0.4">
      <c r="A92" s="34">
        <v>91</v>
      </c>
      <c r="B92" t="s">
        <v>235</v>
      </c>
      <c r="C92" t="s">
        <v>241</v>
      </c>
      <c r="D92">
        <v>1.8789571719853599E+18</v>
      </c>
      <c r="E92" t="s">
        <v>5</v>
      </c>
      <c r="F92">
        <v>1297559</v>
      </c>
      <c r="G92">
        <v>0</v>
      </c>
      <c r="H92">
        <v>0</v>
      </c>
      <c r="I92">
        <v>0</v>
      </c>
      <c r="J92">
        <v>0</v>
      </c>
      <c r="K92">
        <v>0</v>
      </c>
      <c r="L92">
        <v>0</v>
      </c>
    </row>
    <row r="93" spans="1:12" x14ac:dyDescent="0.4">
      <c r="A93" s="34">
        <v>92</v>
      </c>
      <c r="B93" t="s">
        <v>242</v>
      </c>
      <c r="C93" t="s">
        <v>243</v>
      </c>
      <c r="D93">
        <v>1.37756619989842E+19</v>
      </c>
      <c r="E93" t="s">
        <v>5</v>
      </c>
      <c r="F93">
        <v>1285461</v>
      </c>
      <c r="G93">
        <v>107801</v>
      </c>
      <c r="H93">
        <v>0</v>
      </c>
      <c r="I93">
        <v>98304</v>
      </c>
      <c r="J93">
        <v>0</v>
      </c>
      <c r="K93">
        <v>1651</v>
      </c>
      <c r="L93">
        <v>32951041</v>
      </c>
    </row>
    <row r="94" spans="1:12" x14ac:dyDescent="0.4">
      <c r="A94" s="34">
        <v>93</v>
      </c>
      <c r="B94" t="s">
        <v>242</v>
      </c>
      <c r="C94" t="s">
        <v>244</v>
      </c>
      <c r="D94">
        <v>6.8555426884774605E+18</v>
      </c>
      <c r="E94" t="s">
        <v>5</v>
      </c>
      <c r="F94">
        <v>1256141</v>
      </c>
      <c r="G94">
        <v>107834</v>
      </c>
      <c r="H94">
        <v>0</v>
      </c>
      <c r="I94">
        <v>98304</v>
      </c>
      <c r="J94">
        <v>0</v>
      </c>
      <c r="K94">
        <v>1659</v>
      </c>
      <c r="L94">
        <v>32956606</v>
      </c>
    </row>
    <row r="95" spans="1:12" x14ac:dyDescent="0.4">
      <c r="A95" s="34">
        <v>94</v>
      </c>
      <c r="B95" t="s">
        <v>242</v>
      </c>
      <c r="C95" t="s">
        <v>245</v>
      </c>
      <c r="D95">
        <v>2.7341003287548298E+18</v>
      </c>
      <c r="E95" t="s">
        <v>5</v>
      </c>
      <c r="F95">
        <v>1266640</v>
      </c>
      <c r="G95">
        <v>107857</v>
      </c>
      <c r="H95">
        <v>0</v>
      </c>
      <c r="I95">
        <v>98304</v>
      </c>
      <c r="J95">
        <v>0</v>
      </c>
      <c r="K95">
        <v>1651</v>
      </c>
      <c r="L95">
        <v>32954491</v>
      </c>
    </row>
    <row r="96" spans="1:12" x14ac:dyDescent="0.4">
      <c r="A96" s="34">
        <v>95</v>
      </c>
      <c r="B96" t="s">
        <v>242</v>
      </c>
      <c r="C96" t="s">
        <v>246</v>
      </c>
      <c r="D96">
        <v>9.1832568818803702E+18</v>
      </c>
      <c r="E96" t="s">
        <v>5</v>
      </c>
      <c r="F96">
        <v>1285714</v>
      </c>
      <c r="G96">
        <v>107844</v>
      </c>
      <c r="H96">
        <v>0</v>
      </c>
      <c r="I96">
        <v>98304</v>
      </c>
      <c r="J96">
        <v>0</v>
      </c>
      <c r="K96">
        <v>1645</v>
      </c>
      <c r="L96">
        <v>32949014</v>
      </c>
    </row>
    <row r="97" spans="1:12" x14ac:dyDescent="0.4">
      <c r="A97" s="34">
        <v>96</v>
      </c>
      <c r="B97" t="s">
        <v>242</v>
      </c>
      <c r="C97" t="s">
        <v>247</v>
      </c>
      <c r="D97">
        <v>9.8256058180514796E+18</v>
      </c>
      <c r="E97" t="s">
        <v>5</v>
      </c>
      <c r="F97">
        <v>1280539</v>
      </c>
      <c r="G97">
        <v>107863</v>
      </c>
      <c r="H97">
        <v>0</v>
      </c>
      <c r="I97">
        <v>98304</v>
      </c>
      <c r="J97">
        <v>0</v>
      </c>
      <c r="K97">
        <v>1649</v>
      </c>
      <c r="L97">
        <v>32953659</v>
      </c>
    </row>
    <row r="98" spans="1:12" x14ac:dyDescent="0.4">
      <c r="A98" s="34">
        <v>97</v>
      </c>
      <c r="B98" t="s">
        <v>242</v>
      </c>
      <c r="C98" t="s">
        <v>248</v>
      </c>
      <c r="D98">
        <v>1.8789571719853599E+18</v>
      </c>
      <c r="E98" t="s">
        <v>5</v>
      </c>
      <c r="F98">
        <v>1297559</v>
      </c>
      <c r="G98">
        <v>107828</v>
      </c>
      <c r="H98">
        <v>0</v>
      </c>
      <c r="I98">
        <v>98304</v>
      </c>
      <c r="J98">
        <v>0</v>
      </c>
      <c r="K98">
        <v>1652</v>
      </c>
      <c r="L98">
        <v>32946105</v>
      </c>
    </row>
    <row r="99" spans="1:12" x14ac:dyDescent="0.4">
      <c r="A99" s="34">
        <v>98</v>
      </c>
      <c r="B99" t="s">
        <v>7</v>
      </c>
      <c r="C99" t="s">
        <v>7</v>
      </c>
      <c r="D99">
        <v>6.8555426884774605E+18</v>
      </c>
      <c r="E99" t="s">
        <v>5</v>
      </c>
      <c r="F99">
        <v>1256140</v>
      </c>
      <c r="G99">
        <v>0</v>
      </c>
      <c r="H99">
        <v>0</v>
      </c>
      <c r="I99">
        <v>0</v>
      </c>
      <c r="J99">
        <v>0</v>
      </c>
      <c r="K99">
        <v>0</v>
      </c>
      <c r="L99">
        <v>0</v>
      </c>
    </row>
    <row r="100" spans="1:12" x14ac:dyDescent="0.4">
      <c r="A100" s="34">
        <v>99</v>
      </c>
      <c r="B100" t="s">
        <v>4</v>
      </c>
      <c r="C100" t="s">
        <v>4</v>
      </c>
      <c r="D100">
        <v>6.8555426884774605E+18</v>
      </c>
      <c r="E100" t="s">
        <v>5</v>
      </c>
      <c r="F100">
        <v>1256147</v>
      </c>
      <c r="G100">
        <v>0</v>
      </c>
      <c r="H100">
        <v>0</v>
      </c>
      <c r="I100">
        <v>0</v>
      </c>
      <c r="J100">
        <v>0</v>
      </c>
      <c r="K100">
        <v>0</v>
      </c>
      <c r="L100">
        <v>0</v>
      </c>
    </row>
    <row r="101" spans="1:12" x14ac:dyDescent="0.4">
      <c r="A101" s="34">
        <v>100</v>
      </c>
      <c r="B101" t="s">
        <v>11</v>
      </c>
      <c r="C101" t="s">
        <v>11</v>
      </c>
      <c r="D101">
        <v>6.8555426884774605E+18</v>
      </c>
      <c r="E101" t="s">
        <v>5</v>
      </c>
      <c r="F101">
        <v>1256140</v>
      </c>
      <c r="G101">
        <v>0</v>
      </c>
      <c r="H101">
        <v>0</v>
      </c>
      <c r="I101">
        <v>0</v>
      </c>
      <c r="J101">
        <v>0</v>
      </c>
      <c r="K101">
        <v>0</v>
      </c>
      <c r="L101">
        <v>0</v>
      </c>
    </row>
    <row r="102" spans="1:12" x14ac:dyDescent="0.4">
      <c r="A102" s="34">
        <v>101</v>
      </c>
      <c r="B102" t="s">
        <v>12</v>
      </c>
      <c r="C102" t="s">
        <v>12</v>
      </c>
      <c r="D102">
        <v>6.8555426884774605E+18</v>
      </c>
      <c r="E102" t="s">
        <v>5</v>
      </c>
      <c r="F102">
        <v>1256140</v>
      </c>
      <c r="G102">
        <v>3</v>
      </c>
      <c r="H102">
        <v>0</v>
      </c>
      <c r="I102">
        <v>6</v>
      </c>
      <c r="J102">
        <v>0</v>
      </c>
      <c r="K102">
        <v>26</v>
      </c>
      <c r="L102">
        <v>122</v>
      </c>
    </row>
    <row r="103" spans="1:12" x14ac:dyDescent="0.4">
      <c r="A103" s="34">
        <v>102</v>
      </c>
      <c r="B103" t="s">
        <v>6</v>
      </c>
      <c r="C103" t="s">
        <v>6</v>
      </c>
      <c r="D103">
        <v>6.8555426884774605E+18</v>
      </c>
      <c r="E103" t="s">
        <v>5</v>
      </c>
      <c r="F103">
        <v>1256140</v>
      </c>
      <c r="G103">
        <v>10672</v>
      </c>
      <c r="H103">
        <v>10672</v>
      </c>
      <c r="I103">
        <v>42688</v>
      </c>
      <c r="J103">
        <v>0</v>
      </c>
      <c r="K103">
        <v>474</v>
      </c>
      <c r="L103">
        <v>511010</v>
      </c>
    </row>
    <row r="104" spans="1:12" x14ac:dyDescent="0.4">
      <c r="A104" s="34">
        <v>103</v>
      </c>
      <c r="B104" t="s">
        <v>10</v>
      </c>
      <c r="C104" t="s">
        <v>10</v>
      </c>
      <c r="D104">
        <v>6.8555426884774605E+18</v>
      </c>
      <c r="E104" t="s">
        <v>5</v>
      </c>
      <c r="F104">
        <v>1256140</v>
      </c>
      <c r="G104">
        <v>0</v>
      </c>
      <c r="H104">
        <v>0</v>
      </c>
      <c r="I104">
        <v>0</v>
      </c>
      <c r="J104">
        <v>0</v>
      </c>
      <c r="K104">
        <v>0</v>
      </c>
      <c r="L104">
        <v>0</v>
      </c>
    </row>
    <row r="105" spans="1:12" x14ac:dyDescent="0.4">
      <c r="A105" s="34">
        <v>104</v>
      </c>
      <c r="B105" t="s">
        <v>9</v>
      </c>
      <c r="C105" t="s">
        <v>9</v>
      </c>
      <c r="D105">
        <v>6.8555426884774605E+18</v>
      </c>
      <c r="E105" t="s">
        <v>5</v>
      </c>
      <c r="F105">
        <v>1256141</v>
      </c>
      <c r="G105">
        <v>0</v>
      </c>
      <c r="H105">
        <v>0</v>
      </c>
      <c r="I105">
        <v>0</v>
      </c>
      <c r="J105">
        <v>0</v>
      </c>
      <c r="K105">
        <v>0</v>
      </c>
      <c r="L105">
        <v>0</v>
      </c>
    </row>
    <row r="106" spans="1:12" x14ac:dyDescent="0.4">
      <c r="A106" s="34">
        <v>105</v>
      </c>
      <c r="B106" t="s">
        <v>8</v>
      </c>
      <c r="C106" t="s">
        <v>8</v>
      </c>
      <c r="D106">
        <v>6.8555426884774605E+18</v>
      </c>
      <c r="E106" t="s">
        <v>5</v>
      </c>
      <c r="F106">
        <v>1256140</v>
      </c>
      <c r="G106">
        <v>2</v>
      </c>
      <c r="H106">
        <v>4</v>
      </c>
      <c r="I106">
        <v>12</v>
      </c>
      <c r="J106">
        <v>0</v>
      </c>
      <c r="K106">
        <v>0</v>
      </c>
      <c r="L106">
        <v>2074</v>
      </c>
    </row>
    <row r="107" spans="1:12" x14ac:dyDescent="0.4">
      <c r="A107" s="34">
        <v>106</v>
      </c>
      <c r="B107" t="s">
        <v>14</v>
      </c>
      <c r="C107" t="s">
        <v>14</v>
      </c>
      <c r="D107">
        <v>6.8555426884774605E+18</v>
      </c>
      <c r="E107" t="s">
        <v>5</v>
      </c>
      <c r="F107">
        <v>1256147</v>
      </c>
      <c r="G107">
        <v>0</v>
      </c>
      <c r="H107">
        <v>0</v>
      </c>
      <c r="I107">
        <v>0</v>
      </c>
      <c r="J107">
        <v>0</v>
      </c>
      <c r="K107">
        <v>0</v>
      </c>
      <c r="L107">
        <v>0</v>
      </c>
    </row>
    <row r="108" spans="1:12" x14ac:dyDescent="0.4">
      <c r="C108" s="3" t="s">
        <v>82</v>
      </c>
      <c r="D108">
        <f>SUBTOTAL(103,Table1[Host ID])</f>
        <v>106</v>
      </c>
      <c r="F108" s="3" t="s">
        <v>17</v>
      </c>
      <c r="G108" s="29">
        <f>SUBTOTAL(109,Table1[Forest Size (MB)])</f>
        <v>9705723</v>
      </c>
      <c r="H108" s="29">
        <f>SUBTOTAL(109,Table1[Replicated (MB)])</f>
        <v>10798</v>
      </c>
      <c r="I108" s="29">
        <f>SUBTOTAL(109,Table1[Forest Reserve (MB)])</f>
        <v>5578914</v>
      </c>
      <c r="J108" s="29">
        <f>SUBTOTAL(109,Table1[Large Data (MB)])</f>
        <v>0</v>
      </c>
      <c r="K108" s="29">
        <f>SUBTOTAL(109,Table1[Journals (MB)])</f>
        <v>116799</v>
      </c>
      <c r="L108" s="29">
        <f>SUBTOTAL(109,Table1[Doc Count])</f>
        <v>3226600614</v>
      </c>
    </row>
    <row r="109" spans="1:12" x14ac:dyDescent="0.4">
      <c r="C109" s="3" t="s">
        <v>83</v>
      </c>
      <c r="D109">
        <f>COUNT(Table1[Host ID])</f>
        <v>106</v>
      </c>
      <c r="F109" s="3" t="s">
        <v>16</v>
      </c>
      <c r="G109" s="2">
        <f>Table1[[#Totals],[Forest Size (MB)]]/1024</f>
        <v>9478.2451171875</v>
      </c>
      <c r="H109" s="2">
        <f>Table1[[#Totals],[Replicated (MB)]]/1024</f>
        <v>10.544921875</v>
      </c>
      <c r="I109" s="2">
        <f>Table1[[#Totals],[Forest Reserve (MB)]]/1024</f>
        <v>5448.158203125</v>
      </c>
      <c r="J109" s="2">
        <f>Table1[[#Totals],[Large Data (MB)]]/1024</f>
        <v>0</v>
      </c>
      <c r="K109" s="2">
        <f>Table1[[#Totals],[Journals (MB)]]/1024</f>
        <v>114.0615234375</v>
      </c>
    </row>
    <row r="110" spans="1:12" x14ac:dyDescent="0.4">
      <c r="F110" s="3" t="s">
        <v>15</v>
      </c>
      <c r="G110" s="2">
        <f>G109/1024</f>
        <v>9.256098747253418</v>
      </c>
      <c r="H110" s="2">
        <f>H109/1024</f>
        <v>1.0297775268554688E-2</v>
      </c>
      <c r="I110" s="2">
        <f>I109/1024</f>
        <v>5.3204669952392578</v>
      </c>
      <c r="J110" s="2">
        <f>J109/1024</f>
        <v>0</v>
      </c>
      <c r="K110" s="2">
        <f>K109/1024</f>
        <v>0.11138820648193359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3"/>
  <sheetViews>
    <sheetView zoomScale="115" zoomScaleNormal="115" workbookViewId="0">
      <pane ySplit="1" topLeftCell="A2" activePane="bottomLeft" state="frozen"/>
      <selection pane="bottomLeft" activeCell="A3" sqref="A3"/>
    </sheetView>
  </sheetViews>
  <sheetFormatPr defaultRowHeight="14.6" x14ac:dyDescent="0.4"/>
  <cols>
    <col min="1" max="1" width="10.69140625" style="34" bestFit="1" customWidth="1"/>
    <col min="2" max="2" width="32.53515625" bestFit="1" customWidth="1"/>
    <col min="3" max="3" width="34.3828125" bestFit="1" customWidth="1"/>
    <col min="4" max="4" width="12" bestFit="1" customWidth="1"/>
    <col min="5" max="5" width="18.3828125" bestFit="1" customWidth="1"/>
    <col min="6" max="6" width="22.3046875" bestFit="1" customWidth="1"/>
    <col min="7" max="7" width="20.15234375" bestFit="1" customWidth="1"/>
    <col min="8" max="8" width="20.15234375" customWidth="1"/>
    <col min="9" max="9" width="23.84375" bestFit="1" customWidth="1"/>
    <col min="10" max="10" width="19.84375" bestFit="1" customWidth="1"/>
    <col min="11" max="11" width="17.84375" bestFit="1" customWidth="1"/>
    <col min="12" max="12" width="15.15234375" bestFit="1" customWidth="1"/>
    <col min="13" max="13" width="14.53515625" bestFit="1" customWidth="1"/>
  </cols>
  <sheetData>
    <row r="1" spans="1:12" x14ac:dyDescent="0.4">
      <c r="A1" s="1" t="s">
        <v>108</v>
      </c>
      <c r="B1" s="1" t="s">
        <v>0</v>
      </c>
      <c r="C1" s="1" t="s">
        <v>1</v>
      </c>
      <c r="D1" s="1" t="s">
        <v>2</v>
      </c>
      <c r="E1" s="1" t="s">
        <v>3</v>
      </c>
      <c r="F1" s="1" t="s">
        <v>20</v>
      </c>
      <c r="G1" s="1" t="s">
        <v>18</v>
      </c>
      <c r="H1" s="1" t="s">
        <v>118</v>
      </c>
      <c r="I1" s="1" t="s">
        <v>19</v>
      </c>
      <c r="J1" s="1" t="s">
        <v>98</v>
      </c>
      <c r="K1" s="1" t="s">
        <v>99</v>
      </c>
      <c r="L1" s="1" t="s">
        <v>21</v>
      </c>
    </row>
    <row r="2" spans="1:12" x14ac:dyDescent="0.4">
      <c r="A2" s="34">
        <v>1</v>
      </c>
      <c r="B2" t="s">
        <v>13</v>
      </c>
      <c r="C2" t="s">
        <v>13</v>
      </c>
      <c r="D2">
        <v>6.8555426884774605E+18</v>
      </c>
      <c r="E2" t="s">
        <v>5</v>
      </c>
      <c r="F2">
        <v>1231310</v>
      </c>
      <c r="G2">
        <v>118</v>
      </c>
      <c r="H2">
        <v>118</v>
      </c>
      <c r="I2">
        <v>472</v>
      </c>
      <c r="J2">
        <v>0</v>
      </c>
      <c r="K2">
        <v>840</v>
      </c>
      <c r="L2">
        <v>25162</v>
      </c>
    </row>
    <row r="3" spans="1:12" x14ac:dyDescent="0.4">
      <c r="A3" s="34">
        <v>2</v>
      </c>
      <c r="B3" t="s">
        <v>143</v>
      </c>
      <c r="C3" t="s">
        <v>144</v>
      </c>
      <c r="D3">
        <v>1.37756619989842E+19</v>
      </c>
      <c r="E3" t="s">
        <v>5</v>
      </c>
      <c r="F3">
        <v>1258071</v>
      </c>
      <c r="G3">
        <v>200864</v>
      </c>
      <c r="H3">
        <v>0</v>
      </c>
      <c r="I3">
        <v>98304</v>
      </c>
      <c r="J3">
        <v>0</v>
      </c>
      <c r="K3">
        <v>1978</v>
      </c>
      <c r="L3">
        <v>36938222</v>
      </c>
    </row>
    <row r="4" spans="1:12" x14ac:dyDescent="0.4">
      <c r="A4" s="34">
        <v>3</v>
      </c>
      <c r="B4" t="s">
        <v>143</v>
      </c>
      <c r="C4" t="s">
        <v>145</v>
      </c>
      <c r="D4">
        <v>1.37756619989842E+19</v>
      </c>
      <c r="E4" t="s">
        <v>5</v>
      </c>
      <c r="F4">
        <v>1258071</v>
      </c>
      <c r="G4">
        <v>196057</v>
      </c>
      <c r="H4">
        <v>0</v>
      </c>
      <c r="I4">
        <v>98304</v>
      </c>
      <c r="J4">
        <v>0</v>
      </c>
      <c r="K4">
        <v>2046</v>
      </c>
      <c r="L4">
        <v>36936365</v>
      </c>
    </row>
    <row r="5" spans="1:12" x14ac:dyDescent="0.4">
      <c r="A5" s="34">
        <v>4</v>
      </c>
      <c r="B5" t="s">
        <v>143</v>
      </c>
      <c r="C5" t="s">
        <v>146</v>
      </c>
      <c r="D5">
        <v>1.37756619989842E+19</v>
      </c>
      <c r="E5" t="s">
        <v>5</v>
      </c>
      <c r="F5">
        <v>1258071</v>
      </c>
      <c r="G5">
        <v>207564</v>
      </c>
      <c r="H5">
        <v>0</v>
      </c>
      <c r="I5">
        <v>98304</v>
      </c>
      <c r="J5">
        <v>0</v>
      </c>
      <c r="K5">
        <v>2003</v>
      </c>
      <c r="L5">
        <v>36939205</v>
      </c>
    </row>
    <row r="6" spans="1:12" x14ac:dyDescent="0.4">
      <c r="A6" s="34">
        <v>5</v>
      </c>
      <c r="B6" t="s">
        <v>143</v>
      </c>
      <c r="C6" t="s">
        <v>147</v>
      </c>
      <c r="D6">
        <v>1.37756619989842E+19</v>
      </c>
      <c r="E6" t="s">
        <v>5</v>
      </c>
      <c r="F6">
        <v>1258071</v>
      </c>
      <c r="G6">
        <v>197096</v>
      </c>
      <c r="H6">
        <v>0</v>
      </c>
      <c r="I6">
        <v>98304</v>
      </c>
      <c r="J6">
        <v>0</v>
      </c>
      <c r="K6">
        <v>1980</v>
      </c>
      <c r="L6">
        <v>36928554</v>
      </c>
    </row>
    <row r="7" spans="1:12" x14ac:dyDescent="0.4">
      <c r="A7" s="34">
        <v>6</v>
      </c>
      <c r="B7" t="s">
        <v>143</v>
      </c>
      <c r="C7" t="s">
        <v>148</v>
      </c>
      <c r="D7">
        <v>6.8555426884774605E+18</v>
      </c>
      <c r="E7" t="s">
        <v>5</v>
      </c>
      <c r="F7">
        <v>1231309</v>
      </c>
      <c r="G7">
        <v>198532</v>
      </c>
      <c r="H7">
        <v>0</v>
      </c>
      <c r="I7">
        <v>98304</v>
      </c>
      <c r="J7">
        <v>0</v>
      </c>
      <c r="K7">
        <v>1923</v>
      </c>
      <c r="L7">
        <v>36933046</v>
      </c>
    </row>
    <row r="8" spans="1:12" x14ac:dyDescent="0.4">
      <c r="A8" s="34">
        <v>7</v>
      </c>
      <c r="B8" t="s">
        <v>143</v>
      </c>
      <c r="C8" t="s">
        <v>149</v>
      </c>
      <c r="D8">
        <v>6.8555426884774605E+18</v>
      </c>
      <c r="E8" t="s">
        <v>5</v>
      </c>
      <c r="F8">
        <v>1231309</v>
      </c>
      <c r="G8">
        <v>210874</v>
      </c>
      <c r="H8">
        <v>0</v>
      </c>
      <c r="I8">
        <v>98304</v>
      </c>
      <c r="J8">
        <v>0</v>
      </c>
      <c r="K8">
        <v>2019</v>
      </c>
      <c r="L8">
        <v>36934446</v>
      </c>
    </row>
    <row r="9" spans="1:12" x14ac:dyDescent="0.4">
      <c r="A9" s="34">
        <v>8</v>
      </c>
      <c r="B9" t="s">
        <v>143</v>
      </c>
      <c r="C9" t="s">
        <v>150</v>
      </c>
      <c r="D9">
        <v>6.8555426884774605E+18</v>
      </c>
      <c r="E9" t="s">
        <v>5</v>
      </c>
      <c r="F9">
        <v>1231297</v>
      </c>
      <c r="G9">
        <v>206861</v>
      </c>
      <c r="H9">
        <v>0</v>
      </c>
      <c r="I9">
        <v>98304</v>
      </c>
      <c r="J9">
        <v>0</v>
      </c>
      <c r="K9">
        <v>2016</v>
      </c>
      <c r="L9">
        <v>36937930</v>
      </c>
    </row>
    <row r="10" spans="1:12" x14ac:dyDescent="0.4">
      <c r="A10" s="34">
        <v>9</v>
      </c>
      <c r="B10" t="s">
        <v>143</v>
      </c>
      <c r="C10" t="s">
        <v>151</v>
      </c>
      <c r="D10">
        <v>6.8555426884774605E+18</v>
      </c>
      <c r="E10" t="s">
        <v>5</v>
      </c>
      <c r="F10">
        <v>1231297</v>
      </c>
      <c r="G10">
        <v>201011</v>
      </c>
      <c r="H10">
        <v>0</v>
      </c>
      <c r="I10">
        <v>98304</v>
      </c>
      <c r="J10">
        <v>0</v>
      </c>
      <c r="K10">
        <v>1926</v>
      </c>
      <c r="L10">
        <v>36933763</v>
      </c>
    </row>
    <row r="11" spans="1:12" x14ac:dyDescent="0.4">
      <c r="A11" s="34">
        <v>10</v>
      </c>
      <c r="B11" t="s">
        <v>143</v>
      </c>
      <c r="C11" t="s">
        <v>152</v>
      </c>
      <c r="D11">
        <v>2.7341003287548298E+18</v>
      </c>
      <c r="E11" t="s">
        <v>5</v>
      </c>
      <c r="F11">
        <v>1242757</v>
      </c>
      <c r="G11">
        <v>201483</v>
      </c>
      <c r="H11">
        <v>0</v>
      </c>
      <c r="I11">
        <v>98304</v>
      </c>
      <c r="J11">
        <v>0</v>
      </c>
      <c r="K11">
        <v>1969</v>
      </c>
      <c r="L11">
        <v>36936708</v>
      </c>
    </row>
    <row r="12" spans="1:12" x14ac:dyDescent="0.4">
      <c r="A12" s="34">
        <v>11</v>
      </c>
      <c r="B12" t="s">
        <v>143</v>
      </c>
      <c r="C12" t="s">
        <v>153</v>
      </c>
      <c r="D12">
        <v>2.7341003287548298E+18</v>
      </c>
      <c r="E12" t="s">
        <v>5</v>
      </c>
      <c r="F12">
        <v>1242757</v>
      </c>
      <c r="G12">
        <v>200932</v>
      </c>
      <c r="H12">
        <v>0</v>
      </c>
      <c r="I12">
        <v>98304</v>
      </c>
      <c r="J12">
        <v>0</v>
      </c>
      <c r="K12">
        <v>1930</v>
      </c>
      <c r="L12">
        <v>36929742</v>
      </c>
    </row>
    <row r="13" spans="1:12" x14ac:dyDescent="0.4">
      <c r="A13" s="34">
        <v>12</v>
      </c>
      <c r="B13" t="s">
        <v>143</v>
      </c>
      <c r="C13" t="s">
        <v>154</v>
      </c>
      <c r="D13">
        <v>2.7341003287548298E+18</v>
      </c>
      <c r="E13" t="s">
        <v>5</v>
      </c>
      <c r="F13">
        <v>1242757</v>
      </c>
      <c r="G13">
        <v>200971</v>
      </c>
      <c r="H13">
        <v>0</v>
      </c>
      <c r="I13">
        <v>98304</v>
      </c>
      <c r="J13">
        <v>0</v>
      </c>
      <c r="K13">
        <v>1952</v>
      </c>
      <c r="L13">
        <v>36930427</v>
      </c>
    </row>
    <row r="14" spans="1:12" x14ac:dyDescent="0.4">
      <c r="A14" s="34">
        <v>13</v>
      </c>
      <c r="B14" t="s">
        <v>143</v>
      </c>
      <c r="C14" t="s">
        <v>155</v>
      </c>
      <c r="D14">
        <v>2.7341003287548298E+18</v>
      </c>
      <c r="E14" t="s">
        <v>5</v>
      </c>
      <c r="F14">
        <v>1242757</v>
      </c>
      <c r="G14">
        <v>199845</v>
      </c>
      <c r="H14">
        <v>0</v>
      </c>
      <c r="I14">
        <v>98304</v>
      </c>
      <c r="J14">
        <v>0</v>
      </c>
      <c r="K14">
        <v>1979</v>
      </c>
      <c r="L14">
        <v>36938077</v>
      </c>
    </row>
    <row r="15" spans="1:12" x14ac:dyDescent="0.4">
      <c r="A15" s="34">
        <v>14</v>
      </c>
      <c r="B15" t="s">
        <v>143</v>
      </c>
      <c r="C15" t="s">
        <v>156</v>
      </c>
      <c r="D15">
        <v>9.1832568818803702E+18</v>
      </c>
      <c r="E15" t="s">
        <v>5</v>
      </c>
      <c r="F15">
        <v>1254496</v>
      </c>
      <c r="G15">
        <v>197814</v>
      </c>
      <c r="H15">
        <v>0</v>
      </c>
      <c r="I15">
        <v>98304</v>
      </c>
      <c r="J15">
        <v>0</v>
      </c>
      <c r="K15">
        <v>1916</v>
      </c>
      <c r="L15">
        <v>36943922</v>
      </c>
    </row>
    <row r="16" spans="1:12" x14ac:dyDescent="0.4">
      <c r="A16" s="34">
        <v>15</v>
      </c>
      <c r="B16" t="s">
        <v>143</v>
      </c>
      <c r="C16" t="s">
        <v>157</v>
      </c>
      <c r="D16">
        <v>9.1832568818803702E+18</v>
      </c>
      <c r="E16" t="s">
        <v>5</v>
      </c>
      <c r="F16">
        <v>1254496</v>
      </c>
      <c r="G16">
        <v>200634</v>
      </c>
      <c r="H16">
        <v>0</v>
      </c>
      <c r="I16">
        <v>98304</v>
      </c>
      <c r="J16">
        <v>0</v>
      </c>
      <c r="K16">
        <v>1972</v>
      </c>
      <c r="L16">
        <v>36929160</v>
      </c>
    </row>
    <row r="17" spans="1:12" x14ac:dyDescent="0.4">
      <c r="A17" s="34">
        <v>16</v>
      </c>
      <c r="B17" t="s">
        <v>143</v>
      </c>
      <c r="C17" t="s">
        <v>158</v>
      </c>
      <c r="D17">
        <v>9.1832568818803702E+18</v>
      </c>
      <c r="E17" t="s">
        <v>5</v>
      </c>
      <c r="F17">
        <v>1254496</v>
      </c>
      <c r="G17">
        <v>202026</v>
      </c>
      <c r="H17">
        <v>0</v>
      </c>
      <c r="I17">
        <v>98304</v>
      </c>
      <c r="J17">
        <v>0</v>
      </c>
      <c r="K17">
        <v>2001</v>
      </c>
      <c r="L17">
        <v>36929219</v>
      </c>
    </row>
    <row r="18" spans="1:12" x14ac:dyDescent="0.4">
      <c r="A18" s="34">
        <v>17</v>
      </c>
      <c r="B18" t="s">
        <v>143</v>
      </c>
      <c r="C18" t="s">
        <v>159</v>
      </c>
      <c r="D18">
        <v>9.1832568818803702E+18</v>
      </c>
      <c r="E18" t="s">
        <v>5</v>
      </c>
      <c r="F18">
        <v>1254496</v>
      </c>
      <c r="G18">
        <v>203720</v>
      </c>
      <c r="H18">
        <v>0</v>
      </c>
      <c r="I18">
        <v>98304</v>
      </c>
      <c r="J18">
        <v>0</v>
      </c>
      <c r="K18">
        <v>1966</v>
      </c>
      <c r="L18">
        <v>36934943</v>
      </c>
    </row>
    <row r="19" spans="1:12" x14ac:dyDescent="0.4">
      <c r="A19" s="34">
        <v>18</v>
      </c>
      <c r="B19" t="s">
        <v>143</v>
      </c>
      <c r="C19" t="s">
        <v>160</v>
      </c>
      <c r="D19">
        <v>9.8256058180514796E+18</v>
      </c>
      <c r="E19" t="s">
        <v>5</v>
      </c>
      <c r="F19">
        <v>1248298</v>
      </c>
      <c r="G19">
        <v>205556</v>
      </c>
      <c r="H19">
        <v>0</v>
      </c>
      <c r="I19">
        <v>98304</v>
      </c>
      <c r="J19">
        <v>0</v>
      </c>
      <c r="K19">
        <v>1998</v>
      </c>
      <c r="L19">
        <v>36936142</v>
      </c>
    </row>
    <row r="20" spans="1:12" x14ac:dyDescent="0.4">
      <c r="A20" s="34">
        <v>19</v>
      </c>
      <c r="B20" t="s">
        <v>143</v>
      </c>
      <c r="C20" t="s">
        <v>161</v>
      </c>
      <c r="D20">
        <v>9.8256058180514796E+18</v>
      </c>
      <c r="E20" t="s">
        <v>5</v>
      </c>
      <c r="F20">
        <v>1248298</v>
      </c>
      <c r="G20">
        <v>202154</v>
      </c>
      <c r="H20">
        <v>0</v>
      </c>
      <c r="I20">
        <v>98304</v>
      </c>
      <c r="J20">
        <v>0</v>
      </c>
      <c r="K20">
        <v>1982</v>
      </c>
      <c r="L20">
        <v>36934295</v>
      </c>
    </row>
    <row r="21" spans="1:12" x14ac:dyDescent="0.4">
      <c r="A21" s="34">
        <v>20</v>
      </c>
      <c r="B21" t="s">
        <v>143</v>
      </c>
      <c r="C21" t="s">
        <v>162</v>
      </c>
      <c r="D21">
        <v>9.8256058180514796E+18</v>
      </c>
      <c r="E21" t="s">
        <v>5</v>
      </c>
      <c r="F21">
        <v>1248298</v>
      </c>
      <c r="G21">
        <v>204356</v>
      </c>
      <c r="H21">
        <v>0</v>
      </c>
      <c r="I21">
        <v>98304</v>
      </c>
      <c r="J21">
        <v>0</v>
      </c>
      <c r="K21">
        <v>2003</v>
      </c>
      <c r="L21">
        <v>36933449</v>
      </c>
    </row>
    <row r="22" spans="1:12" x14ac:dyDescent="0.4">
      <c r="A22" s="34">
        <v>21</v>
      </c>
      <c r="B22" t="s">
        <v>143</v>
      </c>
      <c r="C22" t="s">
        <v>163</v>
      </c>
      <c r="D22">
        <v>9.8256058180514796E+18</v>
      </c>
      <c r="E22" t="s">
        <v>5</v>
      </c>
      <c r="F22">
        <v>1248298</v>
      </c>
      <c r="G22">
        <v>202871</v>
      </c>
      <c r="H22">
        <v>0</v>
      </c>
      <c r="I22">
        <v>98304</v>
      </c>
      <c r="J22">
        <v>0</v>
      </c>
      <c r="K22">
        <v>1905</v>
      </c>
      <c r="L22">
        <v>36939613</v>
      </c>
    </row>
    <row r="23" spans="1:12" x14ac:dyDescent="0.4">
      <c r="A23" s="34">
        <v>22</v>
      </c>
      <c r="B23" t="s">
        <v>143</v>
      </c>
      <c r="C23" t="s">
        <v>164</v>
      </c>
      <c r="D23">
        <v>1.8789571719853599E+18</v>
      </c>
      <c r="E23" t="s">
        <v>5</v>
      </c>
      <c r="F23">
        <v>1271749</v>
      </c>
      <c r="G23">
        <v>200703</v>
      </c>
      <c r="H23">
        <v>0</v>
      </c>
      <c r="I23">
        <v>98304</v>
      </c>
      <c r="J23">
        <v>0</v>
      </c>
      <c r="K23">
        <v>1953</v>
      </c>
      <c r="L23">
        <v>36942980</v>
      </c>
    </row>
    <row r="24" spans="1:12" x14ac:dyDescent="0.4">
      <c r="A24" s="34">
        <v>23</v>
      </c>
      <c r="B24" t="s">
        <v>143</v>
      </c>
      <c r="C24" t="s">
        <v>165</v>
      </c>
      <c r="D24">
        <v>1.8789571719853599E+18</v>
      </c>
      <c r="E24" t="s">
        <v>5</v>
      </c>
      <c r="F24">
        <v>1271749</v>
      </c>
      <c r="G24">
        <v>201841</v>
      </c>
      <c r="H24">
        <v>0</v>
      </c>
      <c r="I24">
        <v>98304</v>
      </c>
      <c r="J24">
        <v>0</v>
      </c>
      <c r="K24">
        <v>2022</v>
      </c>
      <c r="L24">
        <v>36930133</v>
      </c>
    </row>
    <row r="25" spans="1:12" x14ac:dyDescent="0.4">
      <c r="A25" s="34">
        <v>24</v>
      </c>
      <c r="B25" t="s">
        <v>143</v>
      </c>
      <c r="C25" t="s">
        <v>166</v>
      </c>
      <c r="D25">
        <v>1.8789571719853599E+18</v>
      </c>
      <c r="E25" t="s">
        <v>5</v>
      </c>
      <c r="F25">
        <v>1271749</v>
      </c>
      <c r="G25">
        <v>201922</v>
      </c>
      <c r="H25">
        <v>0</v>
      </c>
      <c r="I25">
        <v>98304</v>
      </c>
      <c r="J25">
        <v>0</v>
      </c>
      <c r="K25">
        <v>1992</v>
      </c>
      <c r="L25">
        <v>36931335</v>
      </c>
    </row>
    <row r="26" spans="1:12" x14ac:dyDescent="0.4">
      <c r="A26" s="34">
        <v>25</v>
      </c>
      <c r="B26" t="s">
        <v>143</v>
      </c>
      <c r="C26" t="s">
        <v>167</v>
      </c>
      <c r="D26">
        <v>1.8789571719853599E+18</v>
      </c>
      <c r="E26" t="s">
        <v>5</v>
      </c>
      <c r="F26">
        <v>1271749</v>
      </c>
      <c r="G26">
        <v>194441</v>
      </c>
      <c r="H26">
        <v>0</v>
      </c>
      <c r="I26">
        <v>98304</v>
      </c>
      <c r="J26">
        <v>0</v>
      </c>
      <c r="K26">
        <v>1947</v>
      </c>
      <c r="L26">
        <v>36939121</v>
      </c>
    </row>
    <row r="27" spans="1:12" x14ac:dyDescent="0.4">
      <c r="A27" s="34">
        <v>26</v>
      </c>
      <c r="B27" t="s">
        <v>168</v>
      </c>
      <c r="C27" t="s">
        <v>169</v>
      </c>
      <c r="D27">
        <v>1.37756619989842E+19</v>
      </c>
      <c r="E27" t="s">
        <v>5</v>
      </c>
      <c r="F27">
        <v>1258071</v>
      </c>
      <c r="G27">
        <v>1</v>
      </c>
      <c r="H27">
        <v>1</v>
      </c>
      <c r="I27">
        <v>4</v>
      </c>
      <c r="J27">
        <v>0</v>
      </c>
      <c r="K27">
        <v>0</v>
      </c>
      <c r="L27">
        <v>43</v>
      </c>
    </row>
    <row r="28" spans="1:12" x14ac:dyDescent="0.4">
      <c r="A28" s="34">
        <v>27</v>
      </c>
      <c r="B28" t="s">
        <v>168</v>
      </c>
      <c r="C28" t="s">
        <v>170</v>
      </c>
      <c r="D28">
        <v>6.8555426884774605E+18</v>
      </c>
      <c r="E28" t="s">
        <v>5</v>
      </c>
      <c r="F28">
        <v>1231310</v>
      </c>
      <c r="G28">
        <v>1</v>
      </c>
      <c r="H28">
        <v>1</v>
      </c>
      <c r="I28">
        <v>4</v>
      </c>
      <c r="J28">
        <v>0</v>
      </c>
      <c r="K28">
        <v>2</v>
      </c>
      <c r="L28">
        <v>54</v>
      </c>
    </row>
    <row r="29" spans="1:12" x14ac:dyDescent="0.4">
      <c r="A29" s="34">
        <v>28</v>
      </c>
      <c r="B29" t="s">
        <v>168</v>
      </c>
      <c r="C29" t="s">
        <v>171</v>
      </c>
      <c r="D29">
        <v>2.7341003287548298E+18</v>
      </c>
      <c r="E29" t="s">
        <v>5</v>
      </c>
      <c r="F29">
        <v>1242750</v>
      </c>
      <c r="G29">
        <v>1</v>
      </c>
      <c r="H29">
        <v>1</v>
      </c>
      <c r="I29">
        <v>4</v>
      </c>
      <c r="J29">
        <v>0</v>
      </c>
      <c r="K29">
        <v>2</v>
      </c>
      <c r="L29">
        <v>53</v>
      </c>
    </row>
    <row r="30" spans="1:12" x14ac:dyDescent="0.4">
      <c r="A30" s="34">
        <v>29</v>
      </c>
      <c r="B30" t="s">
        <v>168</v>
      </c>
      <c r="C30" t="s">
        <v>172</v>
      </c>
      <c r="D30">
        <v>9.1832568818803702E+18</v>
      </c>
      <c r="E30" t="s">
        <v>5</v>
      </c>
      <c r="F30">
        <v>1254496</v>
      </c>
      <c r="G30">
        <v>1</v>
      </c>
      <c r="H30">
        <v>1</v>
      </c>
      <c r="I30">
        <v>4</v>
      </c>
      <c r="J30">
        <v>0</v>
      </c>
      <c r="K30">
        <v>2</v>
      </c>
      <c r="L30">
        <v>52</v>
      </c>
    </row>
    <row r="31" spans="1:12" x14ac:dyDescent="0.4">
      <c r="A31" s="34">
        <v>30</v>
      </c>
      <c r="B31" t="s">
        <v>168</v>
      </c>
      <c r="C31" t="s">
        <v>173</v>
      </c>
      <c r="D31">
        <v>9.8256058180514796E+18</v>
      </c>
      <c r="E31" t="s">
        <v>5</v>
      </c>
      <c r="F31">
        <v>1248298</v>
      </c>
      <c r="G31">
        <v>1</v>
      </c>
      <c r="H31">
        <v>1</v>
      </c>
      <c r="I31">
        <v>4</v>
      </c>
      <c r="J31">
        <v>0</v>
      </c>
      <c r="K31">
        <v>2</v>
      </c>
      <c r="L31">
        <v>57</v>
      </c>
    </row>
    <row r="32" spans="1:12" x14ac:dyDescent="0.4">
      <c r="A32" s="34">
        <v>31</v>
      </c>
      <c r="B32" t="s">
        <v>168</v>
      </c>
      <c r="C32" t="s">
        <v>174</v>
      </c>
      <c r="D32">
        <v>1.8789571719853599E+18</v>
      </c>
      <c r="E32" t="s">
        <v>5</v>
      </c>
      <c r="F32">
        <v>1271749</v>
      </c>
      <c r="G32">
        <v>3</v>
      </c>
      <c r="H32">
        <v>3</v>
      </c>
      <c r="I32">
        <v>12</v>
      </c>
      <c r="J32">
        <v>0</v>
      </c>
      <c r="K32">
        <v>26</v>
      </c>
      <c r="L32">
        <v>68</v>
      </c>
    </row>
    <row r="33" spans="1:12" x14ac:dyDescent="0.4">
      <c r="A33" s="34">
        <v>32</v>
      </c>
      <c r="B33" t="s">
        <v>175</v>
      </c>
      <c r="C33" t="s">
        <v>176</v>
      </c>
      <c r="D33">
        <v>1.37756619989842E+19</v>
      </c>
      <c r="E33" t="s">
        <v>5</v>
      </c>
      <c r="F33">
        <v>1258071</v>
      </c>
      <c r="G33">
        <v>1</v>
      </c>
      <c r="H33">
        <v>1</v>
      </c>
      <c r="I33">
        <v>4</v>
      </c>
      <c r="J33">
        <v>0</v>
      </c>
      <c r="K33">
        <v>0</v>
      </c>
      <c r="L33">
        <v>1</v>
      </c>
    </row>
    <row r="34" spans="1:12" x14ac:dyDescent="0.4">
      <c r="A34" s="34">
        <v>33</v>
      </c>
      <c r="B34" t="s">
        <v>175</v>
      </c>
      <c r="C34" t="s">
        <v>177</v>
      </c>
      <c r="D34">
        <v>6.8555426884774605E+18</v>
      </c>
      <c r="E34" t="s">
        <v>5</v>
      </c>
      <c r="F34">
        <v>1231310</v>
      </c>
      <c r="G34">
        <v>0</v>
      </c>
      <c r="H34">
        <v>0</v>
      </c>
      <c r="I34">
        <v>0</v>
      </c>
      <c r="J34">
        <v>0</v>
      </c>
      <c r="K34">
        <v>0</v>
      </c>
      <c r="L34">
        <v>0</v>
      </c>
    </row>
    <row r="35" spans="1:12" x14ac:dyDescent="0.4">
      <c r="A35" s="34">
        <v>34</v>
      </c>
      <c r="B35" t="s">
        <v>175</v>
      </c>
      <c r="C35" t="s">
        <v>178</v>
      </c>
      <c r="D35">
        <v>2.7341003287548298E+18</v>
      </c>
      <c r="E35" t="s">
        <v>5</v>
      </c>
      <c r="F35">
        <v>1242750</v>
      </c>
      <c r="G35">
        <v>1</v>
      </c>
      <c r="H35">
        <v>1</v>
      </c>
      <c r="I35">
        <v>4</v>
      </c>
      <c r="J35">
        <v>0</v>
      </c>
      <c r="K35">
        <v>0</v>
      </c>
      <c r="L35">
        <v>1</v>
      </c>
    </row>
    <row r="36" spans="1:12" x14ac:dyDescent="0.4">
      <c r="A36" s="34">
        <v>35</v>
      </c>
      <c r="B36" t="s">
        <v>175</v>
      </c>
      <c r="C36" t="s">
        <v>179</v>
      </c>
      <c r="D36">
        <v>9.1832568818803702E+18</v>
      </c>
      <c r="E36" t="s">
        <v>5</v>
      </c>
      <c r="F36">
        <v>1254496</v>
      </c>
      <c r="G36">
        <v>1</v>
      </c>
      <c r="H36">
        <v>1</v>
      </c>
      <c r="I36">
        <v>4</v>
      </c>
      <c r="J36">
        <v>0</v>
      </c>
      <c r="K36">
        <v>0</v>
      </c>
      <c r="L36">
        <v>2</v>
      </c>
    </row>
    <row r="37" spans="1:12" x14ac:dyDescent="0.4">
      <c r="A37" s="34">
        <v>36</v>
      </c>
      <c r="B37" t="s">
        <v>175</v>
      </c>
      <c r="C37" t="s">
        <v>180</v>
      </c>
      <c r="D37">
        <v>9.8256058180514796E+18</v>
      </c>
      <c r="E37" t="s">
        <v>5</v>
      </c>
      <c r="F37">
        <v>1248298</v>
      </c>
      <c r="G37">
        <v>1</v>
      </c>
      <c r="H37">
        <v>1</v>
      </c>
      <c r="I37">
        <v>4</v>
      </c>
      <c r="J37">
        <v>0</v>
      </c>
      <c r="K37">
        <v>0</v>
      </c>
      <c r="L37">
        <v>1</v>
      </c>
    </row>
    <row r="38" spans="1:12" x14ac:dyDescent="0.4">
      <c r="A38" s="34">
        <v>37</v>
      </c>
      <c r="B38" t="s">
        <v>175</v>
      </c>
      <c r="C38" t="s">
        <v>181</v>
      </c>
      <c r="D38">
        <v>1.8789571719853599E+18</v>
      </c>
      <c r="E38" t="s">
        <v>5</v>
      </c>
      <c r="F38">
        <v>1271749</v>
      </c>
      <c r="G38">
        <v>0</v>
      </c>
      <c r="H38">
        <v>0</v>
      </c>
      <c r="I38">
        <v>0</v>
      </c>
      <c r="J38">
        <v>0</v>
      </c>
      <c r="K38">
        <v>0</v>
      </c>
      <c r="L38">
        <v>0</v>
      </c>
    </row>
    <row r="39" spans="1:12" x14ac:dyDescent="0.4">
      <c r="A39" s="34">
        <v>38</v>
      </c>
      <c r="B39" t="s">
        <v>182</v>
      </c>
      <c r="C39" t="s">
        <v>183</v>
      </c>
      <c r="D39">
        <v>1.37756619989842E+19</v>
      </c>
      <c r="E39" t="s">
        <v>5</v>
      </c>
      <c r="F39">
        <v>1258071</v>
      </c>
      <c r="G39">
        <v>22066</v>
      </c>
      <c r="H39">
        <v>0</v>
      </c>
      <c r="I39">
        <v>44132</v>
      </c>
      <c r="J39">
        <v>0</v>
      </c>
      <c r="K39">
        <v>1934</v>
      </c>
      <c r="L39">
        <v>4239890</v>
      </c>
    </row>
    <row r="40" spans="1:12" x14ac:dyDescent="0.4">
      <c r="A40" s="34">
        <v>39</v>
      </c>
      <c r="B40" t="s">
        <v>182</v>
      </c>
      <c r="C40" t="s">
        <v>184</v>
      </c>
      <c r="D40">
        <v>6.8555426884774605E+18</v>
      </c>
      <c r="E40" t="s">
        <v>5</v>
      </c>
      <c r="F40">
        <v>1231310</v>
      </c>
      <c r="G40">
        <v>22074</v>
      </c>
      <c r="H40">
        <v>0</v>
      </c>
      <c r="I40">
        <v>44148</v>
      </c>
      <c r="J40">
        <v>0</v>
      </c>
      <c r="K40">
        <v>1940</v>
      </c>
      <c r="L40">
        <v>4245852</v>
      </c>
    </row>
    <row r="41" spans="1:12" x14ac:dyDescent="0.4">
      <c r="A41" s="34">
        <v>40</v>
      </c>
      <c r="B41" t="s">
        <v>182</v>
      </c>
      <c r="C41" t="s">
        <v>185</v>
      </c>
      <c r="D41">
        <v>2.7341003287548298E+18</v>
      </c>
      <c r="E41" t="s">
        <v>5</v>
      </c>
      <c r="F41">
        <v>1242750</v>
      </c>
      <c r="G41">
        <v>22072</v>
      </c>
      <c r="H41">
        <v>0</v>
      </c>
      <c r="I41">
        <v>44144</v>
      </c>
      <c r="J41">
        <v>0</v>
      </c>
      <c r="K41">
        <v>1938</v>
      </c>
      <c r="L41">
        <v>4240964</v>
      </c>
    </row>
    <row r="42" spans="1:12" x14ac:dyDescent="0.4">
      <c r="A42" s="34">
        <v>41</v>
      </c>
      <c r="B42" t="s">
        <v>182</v>
      </c>
      <c r="C42" t="s">
        <v>186</v>
      </c>
      <c r="D42">
        <v>9.1832568818803702E+18</v>
      </c>
      <c r="E42" t="s">
        <v>5</v>
      </c>
      <c r="F42">
        <v>1254496</v>
      </c>
      <c r="G42">
        <v>22088</v>
      </c>
      <c r="H42">
        <v>0</v>
      </c>
      <c r="I42">
        <v>44176</v>
      </c>
      <c r="J42">
        <v>0</v>
      </c>
      <c r="K42">
        <v>1947</v>
      </c>
      <c r="L42">
        <v>4244018</v>
      </c>
    </row>
    <row r="43" spans="1:12" x14ac:dyDescent="0.4">
      <c r="A43" s="34">
        <v>42</v>
      </c>
      <c r="B43" t="s">
        <v>182</v>
      </c>
      <c r="C43" t="s">
        <v>187</v>
      </c>
      <c r="D43">
        <v>9.8256058180514796E+18</v>
      </c>
      <c r="E43" t="s">
        <v>5</v>
      </c>
      <c r="F43">
        <v>1248298</v>
      </c>
      <c r="G43">
        <v>22061</v>
      </c>
      <c r="H43">
        <v>0</v>
      </c>
      <c r="I43">
        <v>44122</v>
      </c>
      <c r="J43">
        <v>0</v>
      </c>
      <c r="K43">
        <v>1957</v>
      </c>
      <c r="L43">
        <v>4244425</v>
      </c>
    </row>
    <row r="44" spans="1:12" x14ac:dyDescent="0.4">
      <c r="A44" s="34">
        <v>43</v>
      </c>
      <c r="B44" t="s">
        <v>182</v>
      </c>
      <c r="C44" t="s">
        <v>188</v>
      </c>
      <c r="D44">
        <v>1.8789571719853599E+18</v>
      </c>
      <c r="E44" t="s">
        <v>5</v>
      </c>
      <c r="F44">
        <v>1271749</v>
      </c>
      <c r="G44">
        <v>22050</v>
      </c>
      <c r="H44">
        <v>0</v>
      </c>
      <c r="I44">
        <v>44100</v>
      </c>
      <c r="J44">
        <v>0</v>
      </c>
      <c r="K44">
        <v>1937</v>
      </c>
      <c r="L44">
        <v>4239562</v>
      </c>
    </row>
    <row r="45" spans="1:12" x14ac:dyDescent="0.4">
      <c r="A45" s="34">
        <v>44</v>
      </c>
      <c r="B45" t="s">
        <v>189</v>
      </c>
      <c r="C45" t="s">
        <v>190</v>
      </c>
      <c r="D45">
        <v>1.37756619989842E+19</v>
      </c>
      <c r="E45" t="s">
        <v>5</v>
      </c>
      <c r="F45">
        <v>1258071</v>
      </c>
      <c r="G45">
        <v>2</v>
      </c>
      <c r="H45">
        <v>0</v>
      </c>
      <c r="I45">
        <v>4</v>
      </c>
      <c r="J45">
        <v>0</v>
      </c>
      <c r="K45">
        <v>3</v>
      </c>
      <c r="L45">
        <v>203</v>
      </c>
    </row>
    <row r="46" spans="1:12" x14ac:dyDescent="0.4">
      <c r="A46" s="34">
        <v>45</v>
      </c>
      <c r="B46" t="s">
        <v>189</v>
      </c>
      <c r="C46" t="s">
        <v>191</v>
      </c>
      <c r="D46">
        <v>6.8555426884774605E+18</v>
      </c>
      <c r="E46" t="s">
        <v>5</v>
      </c>
      <c r="F46">
        <v>1231297</v>
      </c>
      <c r="G46">
        <v>7</v>
      </c>
      <c r="H46">
        <v>0</v>
      </c>
      <c r="I46">
        <v>14</v>
      </c>
      <c r="J46">
        <v>0</v>
      </c>
      <c r="K46">
        <v>7</v>
      </c>
      <c r="L46">
        <v>220</v>
      </c>
    </row>
    <row r="47" spans="1:12" x14ac:dyDescent="0.4">
      <c r="A47" s="34">
        <v>46</v>
      </c>
      <c r="B47" t="s">
        <v>189</v>
      </c>
      <c r="C47" t="s">
        <v>192</v>
      </c>
      <c r="D47">
        <v>2.7341003287548298E+18</v>
      </c>
      <c r="E47" t="s">
        <v>5</v>
      </c>
      <c r="F47">
        <v>1242757</v>
      </c>
      <c r="G47">
        <v>2</v>
      </c>
      <c r="H47">
        <v>0</v>
      </c>
      <c r="I47">
        <v>4</v>
      </c>
      <c r="J47">
        <v>0</v>
      </c>
      <c r="K47">
        <v>3</v>
      </c>
      <c r="L47">
        <v>236</v>
      </c>
    </row>
    <row r="48" spans="1:12" x14ac:dyDescent="0.4">
      <c r="A48" s="34">
        <v>47</v>
      </c>
      <c r="B48" t="s">
        <v>189</v>
      </c>
      <c r="C48" t="s">
        <v>193</v>
      </c>
      <c r="D48">
        <v>9.1832568818803702E+18</v>
      </c>
      <c r="E48" t="s">
        <v>5</v>
      </c>
      <c r="F48">
        <v>1254495</v>
      </c>
      <c r="G48">
        <v>3</v>
      </c>
      <c r="H48">
        <v>0</v>
      </c>
      <c r="I48">
        <v>6</v>
      </c>
      <c r="J48">
        <v>0</v>
      </c>
      <c r="K48">
        <v>6</v>
      </c>
      <c r="L48">
        <v>234</v>
      </c>
    </row>
    <row r="49" spans="1:12" x14ac:dyDescent="0.4">
      <c r="A49" s="34">
        <v>48</v>
      </c>
      <c r="B49" t="s">
        <v>189</v>
      </c>
      <c r="C49" t="s">
        <v>194</v>
      </c>
      <c r="D49">
        <v>9.8256058180514796E+18</v>
      </c>
      <c r="E49" t="s">
        <v>5</v>
      </c>
      <c r="F49">
        <v>1248298</v>
      </c>
      <c r="G49">
        <v>3</v>
      </c>
      <c r="H49">
        <v>0</v>
      </c>
      <c r="I49">
        <v>6</v>
      </c>
      <c r="J49">
        <v>0</v>
      </c>
      <c r="K49">
        <v>4</v>
      </c>
      <c r="L49">
        <v>210</v>
      </c>
    </row>
    <row r="50" spans="1:12" x14ac:dyDescent="0.4">
      <c r="A50" s="34">
        <v>49</v>
      </c>
      <c r="B50" t="s">
        <v>189</v>
      </c>
      <c r="C50" t="s">
        <v>195</v>
      </c>
      <c r="D50">
        <v>1.8789571719853599E+18</v>
      </c>
      <c r="E50" t="s">
        <v>5</v>
      </c>
      <c r="F50">
        <v>1271749</v>
      </c>
      <c r="G50">
        <v>3</v>
      </c>
      <c r="H50">
        <v>0</v>
      </c>
      <c r="I50">
        <v>6</v>
      </c>
      <c r="J50">
        <v>0</v>
      </c>
      <c r="K50">
        <v>4</v>
      </c>
      <c r="L50">
        <v>202</v>
      </c>
    </row>
    <row r="51" spans="1:12" x14ac:dyDescent="0.4">
      <c r="A51" s="34">
        <v>50</v>
      </c>
      <c r="B51" t="s">
        <v>196</v>
      </c>
      <c r="C51" t="s">
        <v>197</v>
      </c>
      <c r="D51">
        <v>1.37756619989842E+19</v>
      </c>
      <c r="E51" t="s">
        <v>5</v>
      </c>
      <c r="F51">
        <v>1258071</v>
      </c>
      <c r="G51">
        <v>177749</v>
      </c>
      <c r="H51">
        <v>0</v>
      </c>
      <c r="I51">
        <v>98304</v>
      </c>
      <c r="J51">
        <v>0</v>
      </c>
      <c r="K51">
        <v>1906</v>
      </c>
      <c r="L51">
        <v>89165713</v>
      </c>
    </row>
    <row r="52" spans="1:12" x14ac:dyDescent="0.4">
      <c r="A52" s="34">
        <v>51</v>
      </c>
      <c r="B52" t="s">
        <v>196</v>
      </c>
      <c r="C52" t="s">
        <v>198</v>
      </c>
      <c r="D52">
        <v>1.37756619989842E+19</v>
      </c>
      <c r="E52" t="s">
        <v>5</v>
      </c>
      <c r="F52">
        <v>1258071</v>
      </c>
      <c r="G52">
        <v>177219</v>
      </c>
      <c r="H52">
        <v>0</v>
      </c>
      <c r="I52">
        <v>98304</v>
      </c>
      <c r="J52">
        <v>0</v>
      </c>
      <c r="K52">
        <v>1896</v>
      </c>
      <c r="L52">
        <v>89181027</v>
      </c>
    </row>
    <row r="53" spans="1:12" x14ac:dyDescent="0.4">
      <c r="A53" s="34">
        <v>52</v>
      </c>
      <c r="B53" t="s">
        <v>196</v>
      </c>
      <c r="C53" t="s">
        <v>199</v>
      </c>
      <c r="D53">
        <v>1.37756619989842E+19</v>
      </c>
      <c r="E53" t="s">
        <v>5</v>
      </c>
      <c r="F53">
        <v>1258071</v>
      </c>
      <c r="G53">
        <v>177280</v>
      </c>
      <c r="H53">
        <v>0</v>
      </c>
      <c r="I53">
        <v>98304</v>
      </c>
      <c r="J53">
        <v>0</v>
      </c>
      <c r="K53">
        <v>1895</v>
      </c>
      <c r="L53">
        <v>89146540</v>
      </c>
    </row>
    <row r="54" spans="1:12" x14ac:dyDescent="0.4">
      <c r="A54" s="34">
        <v>53</v>
      </c>
      <c r="B54" t="s">
        <v>196</v>
      </c>
      <c r="C54" t="s">
        <v>200</v>
      </c>
      <c r="D54">
        <v>1.37756619989842E+19</v>
      </c>
      <c r="E54" t="s">
        <v>5</v>
      </c>
      <c r="F54">
        <v>1258071</v>
      </c>
      <c r="G54">
        <v>176541</v>
      </c>
      <c r="H54">
        <v>0</v>
      </c>
      <c r="I54">
        <v>98304</v>
      </c>
      <c r="J54">
        <v>0</v>
      </c>
      <c r="K54">
        <v>1896</v>
      </c>
      <c r="L54">
        <v>89175060</v>
      </c>
    </row>
    <row r="55" spans="1:12" x14ac:dyDescent="0.4">
      <c r="A55" s="34">
        <v>54</v>
      </c>
      <c r="B55" t="s">
        <v>196</v>
      </c>
      <c r="C55" t="s">
        <v>201</v>
      </c>
      <c r="D55">
        <v>6.8555426884774605E+18</v>
      </c>
      <c r="E55" t="s">
        <v>5</v>
      </c>
      <c r="F55">
        <v>1231297</v>
      </c>
      <c r="G55">
        <v>182546</v>
      </c>
      <c r="H55">
        <v>0</v>
      </c>
      <c r="I55">
        <v>98304</v>
      </c>
      <c r="J55">
        <v>0</v>
      </c>
      <c r="K55">
        <v>1901</v>
      </c>
      <c r="L55">
        <v>89158571</v>
      </c>
    </row>
    <row r="56" spans="1:12" x14ac:dyDescent="0.4">
      <c r="A56" s="34">
        <v>55</v>
      </c>
      <c r="B56" t="s">
        <v>196</v>
      </c>
      <c r="C56" t="s">
        <v>202</v>
      </c>
      <c r="D56">
        <v>6.8555426884774605E+18</v>
      </c>
      <c r="E56" t="s">
        <v>5</v>
      </c>
      <c r="F56">
        <v>1231297</v>
      </c>
      <c r="G56">
        <v>176774</v>
      </c>
      <c r="H56">
        <v>0</v>
      </c>
      <c r="I56">
        <v>98304</v>
      </c>
      <c r="J56">
        <v>0</v>
      </c>
      <c r="K56">
        <v>1890</v>
      </c>
      <c r="L56">
        <v>89162756</v>
      </c>
    </row>
    <row r="57" spans="1:12" x14ac:dyDescent="0.4">
      <c r="A57" s="34">
        <v>56</v>
      </c>
      <c r="B57" t="s">
        <v>196</v>
      </c>
      <c r="C57" t="s">
        <v>203</v>
      </c>
      <c r="D57">
        <v>6.8555426884774605E+18</v>
      </c>
      <c r="E57" t="s">
        <v>5</v>
      </c>
      <c r="F57">
        <v>1231297</v>
      </c>
      <c r="G57">
        <v>175159</v>
      </c>
      <c r="H57">
        <v>0</v>
      </c>
      <c r="I57">
        <v>98304</v>
      </c>
      <c r="J57">
        <v>0</v>
      </c>
      <c r="K57">
        <v>1863</v>
      </c>
      <c r="L57">
        <v>89161349</v>
      </c>
    </row>
    <row r="58" spans="1:12" x14ac:dyDescent="0.4">
      <c r="A58" s="34">
        <v>57</v>
      </c>
      <c r="B58" t="s">
        <v>196</v>
      </c>
      <c r="C58" t="s">
        <v>204</v>
      </c>
      <c r="D58">
        <v>6.8555426884774605E+18</v>
      </c>
      <c r="E58" t="s">
        <v>5</v>
      </c>
      <c r="F58">
        <v>1231297</v>
      </c>
      <c r="G58">
        <v>175595</v>
      </c>
      <c r="H58">
        <v>0</v>
      </c>
      <c r="I58">
        <v>98304</v>
      </c>
      <c r="J58">
        <v>0</v>
      </c>
      <c r="K58">
        <v>1866</v>
      </c>
      <c r="L58">
        <v>89163201</v>
      </c>
    </row>
    <row r="59" spans="1:12" x14ac:dyDescent="0.4">
      <c r="A59" s="34">
        <v>58</v>
      </c>
      <c r="B59" t="s">
        <v>196</v>
      </c>
      <c r="C59" t="s">
        <v>205</v>
      </c>
      <c r="D59">
        <v>2.7341003287548298E+18</v>
      </c>
      <c r="E59" t="s">
        <v>5</v>
      </c>
      <c r="F59">
        <v>1242756</v>
      </c>
      <c r="G59">
        <v>182466</v>
      </c>
      <c r="H59">
        <v>0</v>
      </c>
      <c r="I59">
        <v>98304</v>
      </c>
      <c r="J59">
        <v>0</v>
      </c>
      <c r="K59">
        <v>1901</v>
      </c>
      <c r="L59">
        <v>89177205</v>
      </c>
    </row>
    <row r="60" spans="1:12" x14ac:dyDescent="0.4">
      <c r="A60" s="34">
        <v>59</v>
      </c>
      <c r="B60" t="s">
        <v>196</v>
      </c>
      <c r="C60" t="s">
        <v>206</v>
      </c>
      <c r="D60">
        <v>2.7341003287548298E+18</v>
      </c>
      <c r="E60" t="s">
        <v>5</v>
      </c>
      <c r="F60">
        <v>1242756</v>
      </c>
      <c r="G60">
        <v>174338</v>
      </c>
      <c r="H60">
        <v>0</v>
      </c>
      <c r="I60">
        <v>98304</v>
      </c>
      <c r="J60">
        <v>0</v>
      </c>
      <c r="K60">
        <v>1865</v>
      </c>
      <c r="L60">
        <v>89152149</v>
      </c>
    </row>
    <row r="61" spans="1:12" x14ac:dyDescent="0.4">
      <c r="A61" s="34">
        <v>60</v>
      </c>
      <c r="B61" t="s">
        <v>196</v>
      </c>
      <c r="C61" t="s">
        <v>207</v>
      </c>
      <c r="D61">
        <v>2.7341003287548298E+18</v>
      </c>
      <c r="E61" t="s">
        <v>5</v>
      </c>
      <c r="F61">
        <v>1242756</v>
      </c>
      <c r="G61">
        <v>183063</v>
      </c>
      <c r="H61">
        <v>0</v>
      </c>
      <c r="I61">
        <v>98304</v>
      </c>
      <c r="J61">
        <v>0</v>
      </c>
      <c r="K61">
        <v>1895</v>
      </c>
      <c r="L61">
        <v>89165569</v>
      </c>
    </row>
    <row r="62" spans="1:12" x14ac:dyDescent="0.4">
      <c r="A62" s="34">
        <v>61</v>
      </c>
      <c r="B62" t="s">
        <v>196</v>
      </c>
      <c r="C62" t="s">
        <v>208</v>
      </c>
      <c r="D62">
        <v>2.7341003287548298E+18</v>
      </c>
      <c r="E62" t="s">
        <v>5</v>
      </c>
      <c r="F62">
        <v>1242756</v>
      </c>
      <c r="G62">
        <v>173491</v>
      </c>
      <c r="H62">
        <v>0</v>
      </c>
      <c r="I62">
        <v>98304</v>
      </c>
      <c r="J62">
        <v>0</v>
      </c>
      <c r="K62">
        <v>1882</v>
      </c>
      <c r="L62">
        <v>89144315</v>
      </c>
    </row>
    <row r="63" spans="1:12" x14ac:dyDescent="0.4">
      <c r="A63" s="34">
        <v>62</v>
      </c>
      <c r="B63" t="s">
        <v>196</v>
      </c>
      <c r="C63" t="s">
        <v>209</v>
      </c>
      <c r="D63">
        <v>9.1832568818803702E+18</v>
      </c>
      <c r="E63" t="s">
        <v>5</v>
      </c>
      <c r="F63">
        <v>1254495</v>
      </c>
      <c r="G63">
        <v>176008</v>
      </c>
      <c r="H63">
        <v>0</v>
      </c>
      <c r="I63">
        <v>98304</v>
      </c>
      <c r="J63">
        <v>0</v>
      </c>
      <c r="K63">
        <v>1914</v>
      </c>
      <c r="L63">
        <v>89173006</v>
      </c>
    </row>
    <row r="64" spans="1:12" x14ac:dyDescent="0.4">
      <c r="A64" s="34">
        <v>63</v>
      </c>
      <c r="B64" t="s">
        <v>196</v>
      </c>
      <c r="C64" t="s">
        <v>210</v>
      </c>
      <c r="D64">
        <v>9.1832568818803702E+18</v>
      </c>
      <c r="E64" t="s">
        <v>5</v>
      </c>
      <c r="F64">
        <v>1254495</v>
      </c>
      <c r="G64">
        <v>176840</v>
      </c>
      <c r="H64">
        <v>0</v>
      </c>
      <c r="I64">
        <v>98304</v>
      </c>
      <c r="J64">
        <v>0</v>
      </c>
      <c r="K64">
        <v>1905</v>
      </c>
      <c r="L64">
        <v>89176661</v>
      </c>
    </row>
    <row r="65" spans="1:12" x14ac:dyDescent="0.4">
      <c r="A65" s="34">
        <v>64</v>
      </c>
      <c r="B65" t="s">
        <v>196</v>
      </c>
      <c r="C65" t="s">
        <v>211</v>
      </c>
      <c r="D65">
        <v>9.1832568818803702E+18</v>
      </c>
      <c r="E65" t="s">
        <v>5</v>
      </c>
      <c r="F65">
        <v>1254495</v>
      </c>
      <c r="G65">
        <v>173269</v>
      </c>
      <c r="H65">
        <v>0</v>
      </c>
      <c r="I65">
        <v>98304</v>
      </c>
      <c r="J65">
        <v>0</v>
      </c>
      <c r="K65">
        <v>1890</v>
      </c>
      <c r="L65">
        <v>89138989</v>
      </c>
    </row>
    <row r="66" spans="1:12" x14ac:dyDescent="0.4">
      <c r="A66" s="34">
        <v>65</v>
      </c>
      <c r="B66" t="s">
        <v>196</v>
      </c>
      <c r="C66" t="s">
        <v>212</v>
      </c>
      <c r="D66">
        <v>9.1832568818803702E+18</v>
      </c>
      <c r="E66" t="s">
        <v>5</v>
      </c>
      <c r="F66">
        <v>1254495</v>
      </c>
      <c r="G66">
        <v>182926</v>
      </c>
      <c r="H66">
        <v>0</v>
      </c>
      <c r="I66">
        <v>98304</v>
      </c>
      <c r="J66">
        <v>0</v>
      </c>
      <c r="K66">
        <v>1868</v>
      </c>
      <c r="L66">
        <v>89174672</v>
      </c>
    </row>
    <row r="67" spans="1:12" x14ac:dyDescent="0.4">
      <c r="A67" s="34">
        <v>66</v>
      </c>
      <c r="B67" t="s">
        <v>196</v>
      </c>
      <c r="C67" t="s">
        <v>213</v>
      </c>
      <c r="D67">
        <v>9.8256058180514796E+18</v>
      </c>
      <c r="E67" t="s">
        <v>5</v>
      </c>
      <c r="F67">
        <v>1248298</v>
      </c>
      <c r="G67">
        <v>173355</v>
      </c>
      <c r="H67">
        <v>0</v>
      </c>
      <c r="I67">
        <v>98304</v>
      </c>
      <c r="J67">
        <v>0</v>
      </c>
      <c r="K67">
        <v>1905</v>
      </c>
      <c r="L67">
        <v>89142228</v>
      </c>
    </row>
    <row r="68" spans="1:12" x14ac:dyDescent="0.4">
      <c r="A68" s="34">
        <v>67</v>
      </c>
      <c r="B68" t="s">
        <v>196</v>
      </c>
      <c r="C68" t="s">
        <v>214</v>
      </c>
      <c r="D68">
        <v>9.8256058180514796E+18</v>
      </c>
      <c r="E68" t="s">
        <v>5</v>
      </c>
      <c r="F68">
        <v>1248298</v>
      </c>
      <c r="G68">
        <v>174922</v>
      </c>
      <c r="H68">
        <v>0</v>
      </c>
      <c r="I68">
        <v>98304</v>
      </c>
      <c r="J68">
        <v>0</v>
      </c>
      <c r="K68">
        <v>1877</v>
      </c>
      <c r="L68">
        <v>89170321</v>
      </c>
    </row>
    <row r="69" spans="1:12" x14ac:dyDescent="0.4">
      <c r="A69" s="34">
        <v>68</v>
      </c>
      <c r="B69" t="s">
        <v>196</v>
      </c>
      <c r="C69" t="s">
        <v>215</v>
      </c>
      <c r="D69">
        <v>9.8256058180514796E+18</v>
      </c>
      <c r="E69" t="s">
        <v>5</v>
      </c>
      <c r="F69">
        <v>1248298</v>
      </c>
      <c r="G69">
        <v>174271</v>
      </c>
      <c r="H69">
        <v>0</v>
      </c>
      <c r="I69">
        <v>98304</v>
      </c>
      <c r="J69">
        <v>0</v>
      </c>
      <c r="K69">
        <v>1870</v>
      </c>
      <c r="L69">
        <v>89181410</v>
      </c>
    </row>
    <row r="70" spans="1:12" x14ac:dyDescent="0.4">
      <c r="A70" s="34">
        <v>69</v>
      </c>
      <c r="B70" t="s">
        <v>196</v>
      </c>
      <c r="C70" t="s">
        <v>216</v>
      </c>
      <c r="D70">
        <v>9.8256058180514796E+18</v>
      </c>
      <c r="E70" t="s">
        <v>5</v>
      </c>
      <c r="F70">
        <v>1248298</v>
      </c>
      <c r="G70">
        <v>181834</v>
      </c>
      <c r="H70">
        <v>0</v>
      </c>
      <c r="I70">
        <v>98304</v>
      </c>
      <c r="J70">
        <v>0</v>
      </c>
      <c r="K70">
        <v>1869</v>
      </c>
      <c r="L70">
        <v>89155382</v>
      </c>
    </row>
    <row r="71" spans="1:12" x14ac:dyDescent="0.4">
      <c r="A71" s="34">
        <v>70</v>
      </c>
      <c r="B71" t="s">
        <v>196</v>
      </c>
      <c r="C71" t="s">
        <v>217</v>
      </c>
      <c r="D71">
        <v>1.8789571719853599E+18</v>
      </c>
      <c r="E71" t="s">
        <v>5</v>
      </c>
      <c r="F71">
        <v>1271749</v>
      </c>
      <c r="G71">
        <v>173560</v>
      </c>
      <c r="H71">
        <v>0</v>
      </c>
      <c r="I71">
        <v>98304</v>
      </c>
      <c r="J71">
        <v>0</v>
      </c>
      <c r="K71">
        <v>1914</v>
      </c>
      <c r="L71">
        <v>89163834</v>
      </c>
    </row>
    <row r="72" spans="1:12" x14ac:dyDescent="0.4">
      <c r="A72" s="34">
        <v>71</v>
      </c>
      <c r="B72" t="s">
        <v>196</v>
      </c>
      <c r="C72" t="s">
        <v>218</v>
      </c>
      <c r="D72">
        <v>1.8789571719853599E+18</v>
      </c>
      <c r="E72" t="s">
        <v>5</v>
      </c>
      <c r="F72">
        <v>1271749</v>
      </c>
      <c r="G72">
        <v>172956</v>
      </c>
      <c r="H72">
        <v>0</v>
      </c>
      <c r="I72">
        <v>98304</v>
      </c>
      <c r="J72">
        <v>0</v>
      </c>
      <c r="K72">
        <v>1898</v>
      </c>
      <c r="L72">
        <v>89172407</v>
      </c>
    </row>
    <row r="73" spans="1:12" x14ac:dyDescent="0.4">
      <c r="A73" s="34">
        <v>72</v>
      </c>
      <c r="B73" t="s">
        <v>196</v>
      </c>
      <c r="C73" t="s">
        <v>219</v>
      </c>
      <c r="D73">
        <v>1.8789571719853599E+18</v>
      </c>
      <c r="E73" t="s">
        <v>5</v>
      </c>
      <c r="F73">
        <v>1271749</v>
      </c>
      <c r="G73">
        <v>175756</v>
      </c>
      <c r="H73">
        <v>0</v>
      </c>
      <c r="I73">
        <v>98304</v>
      </c>
      <c r="J73">
        <v>0</v>
      </c>
      <c r="K73">
        <v>1879</v>
      </c>
      <c r="L73">
        <v>89160486</v>
      </c>
    </row>
    <row r="74" spans="1:12" x14ac:dyDescent="0.4">
      <c r="A74" s="34">
        <v>73</v>
      </c>
      <c r="B74" t="s">
        <v>196</v>
      </c>
      <c r="C74" t="s">
        <v>220</v>
      </c>
      <c r="D74">
        <v>1.8789571719853599E+18</v>
      </c>
      <c r="E74" t="s">
        <v>5</v>
      </c>
      <c r="F74">
        <v>1271749</v>
      </c>
      <c r="G74">
        <v>175253</v>
      </c>
      <c r="H74">
        <v>0</v>
      </c>
      <c r="I74">
        <v>98304</v>
      </c>
      <c r="J74">
        <v>0</v>
      </c>
      <c r="K74">
        <v>1865</v>
      </c>
      <c r="L74">
        <v>89185524</v>
      </c>
    </row>
    <row r="75" spans="1:12" x14ac:dyDescent="0.4">
      <c r="A75" s="34">
        <v>74</v>
      </c>
      <c r="B75" t="s">
        <v>221</v>
      </c>
      <c r="C75" t="s">
        <v>222</v>
      </c>
      <c r="D75">
        <v>1.37756619989842E+19</v>
      </c>
      <c r="E75" t="s">
        <v>5</v>
      </c>
      <c r="F75">
        <v>1258071</v>
      </c>
      <c r="G75">
        <v>1</v>
      </c>
      <c r="H75">
        <v>1</v>
      </c>
      <c r="I75">
        <v>4</v>
      </c>
      <c r="J75">
        <v>0</v>
      </c>
      <c r="K75">
        <v>0</v>
      </c>
      <c r="L75">
        <v>39</v>
      </c>
    </row>
    <row r="76" spans="1:12" x14ac:dyDescent="0.4">
      <c r="A76" s="34">
        <v>75</v>
      </c>
      <c r="B76" t="s">
        <v>221</v>
      </c>
      <c r="C76" t="s">
        <v>223</v>
      </c>
      <c r="D76">
        <v>6.8555426884774605E+18</v>
      </c>
      <c r="E76" t="s">
        <v>5</v>
      </c>
      <c r="F76">
        <v>1231310</v>
      </c>
      <c r="G76">
        <v>1</v>
      </c>
      <c r="H76">
        <v>1</v>
      </c>
      <c r="I76">
        <v>4</v>
      </c>
      <c r="J76">
        <v>0</v>
      </c>
      <c r="K76">
        <v>2</v>
      </c>
      <c r="L76">
        <v>41</v>
      </c>
    </row>
    <row r="77" spans="1:12" x14ac:dyDescent="0.4">
      <c r="A77" s="34">
        <v>76</v>
      </c>
      <c r="B77" t="s">
        <v>221</v>
      </c>
      <c r="C77" t="s">
        <v>224</v>
      </c>
      <c r="D77">
        <v>2.7341003287548298E+18</v>
      </c>
      <c r="E77" t="s">
        <v>5</v>
      </c>
      <c r="F77">
        <v>1242750</v>
      </c>
      <c r="G77">
        <v>1</v>
      </c>
      <c r="H77">
        <v>1</v>
      </c>
      <c r="I77">
        <v>4</v>
      </c>
      <c r="J77">
        <v>0</v>
      </c>
      <c r="K77">
        <v>0</v>
      </c>
      <c r="L77">
        <v>39</v>
      </c>
    </row>
    <row r="78" spans="1:12" x14ac:dyDescent="0.4">
      <c r="A78" s="34">
        <v>77</v>
      </c>
      <c r="B78" t="s">
        <v>221</v>
      </c>
      <c r="C78" t="s">
        <v>225</v>
      </c>
      <c r="D78">
        <v>9.1832568818803702E+18</v>
      </c>
      <c r="E78" t="s">
        <v>5</v>
      </c>
      <c r="F78">
        <v>1254496</v>
      </c>
      <c r="G78">
        <v>1</v>
      </c>
      <c r="H78">
        <v>1</v>
      </c>
      <c r="I78">
        <v>4</v>
      </c>
      <c r="J78">
        <v>0</v>
      </c>
      <c r="K78">
        <v>0</v>
      </c>
      <c r="L78">
        <v>46</v>
      </c>
    </row>
    <row r="79" spans="1:12" x14ac:dyDescent="0.4">
      <c r="A79" s="34">
        <v>78</v>
      </c>
      <c r="B79" t="s">
        <v>221</v>
      </c>
      <c r="C79" t="s">
        <v>226</v>
      </c>
      <c r="D79">
        <v>9.8256058180514796E+18</v>
      </c>
      <c r="E79" t="s">
        <v>5</v>
      </c>
      <c r="F79">
        <v>1248298</v>
      </c>
      <c r="G79">
        <v>1</v>
      </c>
      <c r="H79">
        <v>1</v>
      </c>
      <c r="I79">
        <v>4</v>
      </c>
      <c r="J79">
        <v>0</v>
      </c>
      <c r="K79">
        <v>0</v>
      </c>
      <c r="L79">
        <v>44</v>
      </c>
    </row>
    <row r="80" spans="1:12" x14ac:dyDescent="0.4">
      <c r="A80" s="34">
        <v>79</v>
      </c>
      <c r="B80" t="s">
        <v>221</v>
      </c>
      <c r="C80" t="s">
        <v>227</v>
      </c>
      <c r="D80">
        <v>1.8789571719853599E+18</v>
      </c>
      <c r="E80" t="s">
        <v>5</v>
      </c>
      <c r="F80">
        <v>1271749</v>
      </c>
      <c r="G80">
        <v>1</v>
      </c>
      <c r="H80">
        <v>1</v>
      </c>
      <c r="I80">
        <v>4</v>
      </c>
      <c r="J80">
        <v>0</v>
      </c>
      <c r="K80">
        <v>6</v>
      </c>
      <c r="L80">
        <v>61</v>
      </c>
    </row>
    <row r="81" spans="1:12" x14ac:dyDescent="0.4">
      <c r="A81" s="34">
        <v>80</v>
      </c>
      <c r="B81" t="s">
        <v>228</v>
      </c>
      <c r="C81" t="s">
        <v>229</v>
      </c>
      <c r="D81">
        <v>1.37756619989842E+19</v>
      </c>
      <c r="E81" t="s">
        <v>5</v>
      </c>
      <c r="F81">
        <v>1258071</v>
      </c>
      <c r="G81">
        <v>1</v>
      </c>
      <c r="H81">
        <v>1</v>
      </c>
      <c r="I81">
        <v>4</v>
      </c>
      <c r="J81">
        <v>0</v>
      </c>
      <c r="K81">
        <v>0</v>
      </c>
      <c r="L81">
        <v>1</v>
      </c>
    </row>
    <row r="82" spans="1:12" x14ac:dyDescent="0.4">
      <c r="A82" s="34">
        <v>81</v>
      </c>
      <c r="B82" t="s">
        <v>228</v>
      </c>
      <c r="C82" t="s">
        <v>230</v>
      </c>
      <c r="D82">
        <v>6.8555426884774605E+18</v>
      </c>
      <c r="E82" t="s">
        <v>5</v>
      </c>
      <c r="F82">
        <v>1231297</v>
      </c>
      <c r="G82">
        <v>0</v>
      </c>
      <c r="H82">
        <v>0</v>
      </c>
      <c r="I82">
        <v>0</v>
      </c>
      <c r="J82">
        <v>0</v>
      </c>
      <c r="K82">
        <v>0</v>
      </c>
      <c r="L82">
        <v>0</v>
      </c>
    </row>
    <row r="83" spans="1:12" x14ac:dyDescent="0.4">
      <c r="A83" s="34">
        <v>82</v>
      </c>
      <c r="B83" t="s">
        <v>228</v>
      </c>
      <c r="C83" t="s">
        <v>231</v>
      </c>
      <c r="D83">
        <v>2.7341003287548298E+18</v>
      </c>
      <c r="E83" t="s">
        <v>5</v>
      </c>
      <c r="F83">
        <v>1242757</v>
      </c>
      <c r="G83">
        <v>1</v>
      </c>
      <c r="H83">
        <v>1</v>
      </c>
      <c r="I83">
        <v>4</v>
      </c>
      <c r="J83">
        <v>0</v>
      </c>
      <c r="K83">
        <v>0</v>
      </c>
      <c r="L83">
        <v>1</v>
      </c>
    </row>
    <row r="84" spans="1:12" x14ac:dyDescent="0.4">
      <c r="A84" s="34">
        <v>83</v>
      </c>
      <c r="B84" t="s">
        <v>228</v>
      </c>
      <c r="C84" t="s">
        <v>232</v>
      </c>
      <c r="D84">
        <v>9.1832568818803702E+18</v>
      </c>
      <c r="E84" t="s">
        <v>5</v>
      </c>
      <c r="F84">
        <v>1254495</v>
      </c>
      <c r="G84">
        <v>1</v>
      </c>
      <c r="H84">
        <v>1</v>
      </c>
      <c r="I84">
        <v>4</v>
      </c>
      <c r="J84">
        <v>0</v>
      </c>
      <c r="K84">
        <v>0</v>
      </c>
      <c r="L84">
        <v>2</v>
      </c>
    </row>
    <row r="85" spans="1:12" x14ac:dyDescent="0.4">
      <c r="A85" s="34">
        <v>84</v>
      </c>
      <c r="B85" t="s">
        <v>228</v>
      </c>
      <c r="C85" t="s">
        <v>233</v>
      </c>
      <c r="D85">
        <v>9.8256058180514796E+18</v>
      </c>
      <c r="E85" t="s">
        <v>5</v>
      </c>
      <c r="F85">
        <v>1248298</v>
      </c>
      <c r="G85">
        <v>1</v>
      </c>
      <c r="H85">
        <v>1</v>
      </c>
      <c r="I85">
        <v>4</v>
      </c>
      <c r="J85">
        <v>0</v>
      </c>
      <c r="K85">
        <v>0</v>
      </c>
      <c r="L85">
        <v>1</v>
      </c>
    </row>
    <row r="86" spans="1:12" x14ac:dyDescent="0.4">
      <c r="A86" s="34">
        <v>85</v>
      </c>
      <c r="B86" t="s">
        <v>228</v>
      </c>
      <c r="C86" t="s">
        <v>234</v>
      </c>
      <c r="D86">
        <v>1.8789571719853599E+18</v>
      </c>
      <c r="E86" t="s">
        <v>5</v>
      </c>
      <c r="F86">
        <v>1271749</v>
      </c>
      <c r="G86">
        <v>0</v>
      </c>
      <c r="H86">
        <v>0</v>
      </c>
      <c r="I86">
        <v>0</v>
      </c>
      <c r="J86">
        <v>0</v>
      </c>
      <c r="K86">
        <v>0</v>
      </c>
      <c r="L86">
        <v>0</v>
      </c>
    </row>
    <row r="87" spans="1:12" x14ac:dyDescent="0.4">
      <c r="A87" s="34">
        <v>86</v>
      </c>
      <c r="B87" t="s">
        <v>235</v>
      </c>
      <c r="C87" t="s">
        <v>236</v>
      </c>
      <c r="D87">
        <v>1.37756619989842E+19</v>
      </c>
      <c r="E87" t="s">
        <v>5</v>
      </c>
      <c r="F87">
        <v>1258071</v>
      </c>
      <c r="G87">
        <v>0</v>
      </c>
      <c r="H87">
        <v>0</v>
      </c>
      <c r="I87">
        <v>0</v>
      </c>
      <c r="J87">
        <v>0</v>
      </c>
      <c r="K87">
        <v>0</v>
      </c>
      <c r="L87">
        <v>0</v>
      </c>
    </row>
    <row r="88" spans="1:12" x14ac:dyDescent="0.4">
      <c r="A88" s="34">
        <v>87</v>
      </c>
      <c r="B88" t="s">
        <v>235</v>
      </c>
      <c r="C88" t="s">
        <v>237</v>
      </c>
      <c r="D88">
        <v>6.8555426884774605E+18</v>
      </c>
      <c r="E88" t="s">
        <v>5</v>
      </c>
      <c r="F88">
        <v>1231297</v>
      </c>
      <c r="G88">
        <v>0</v>
      </c>
      <c r="H88">
        <v>0</v>
      </c>
      <c r="I88">
        <v>0</v>
      </c>
      <c r="J88">
        <v>0</v>
      </c>
      <c r="K88">
        <v>0</v>
      </c>
      <c r="L88">
        <v>0</v>
      </c>
    </row>
    <row r="89" spans="1:12" x14ac:dyDescent="0.4">
      <c r="A89" s="34">
        <v>88</v>
      </c>
      <c r="B89" t="s">
        <v>235</v>
      </c>
      <c r="C89" t="s">
        <v>238</v>
      </c>
      <c r="D89">
        <v>2.7341003287548298E+18</v>
      </c>
      <c r="E89" t="s">
        <v>5</v>
      </c>
      <c r="F89">
        <v>1242757</v>
      </c>
      <c r="G89">
        <v>0</v>
      </c>
      <c r="H89">
        <v>0</v>
      </c>
      <c r="I89">
        <v>0</v>
      </c>
      <c r="J89">
        <v>0</v>
      </c>
      <c r="K89">
        <v>0</v>
      </c>
      <c r="L89">
        <v>0</v>
      </c>
    </row>
    <row r="90" spans="1:12" x14ac:dyDescent="0.4">
      <c r="A90" s="34">
        <v>89</v>
      </c>
      <c r="B90" t="s">
        <v>235</v>
      </c>
      <c r="C90" t="s">
        <v>239</v>
      </c>
      <c r="D90">
        <v>9.1832568818803702E+18</v>
      </c>
      <c r="E90" t="s">
        <v>5</v>
      </c>
      <c r="F90">
        <v>1254495</v>
      </c>
      <c r="G90">
        <v>0</v>
      </c>
      <c r="H90">
        <v>0</v>
      </c>
      <c r="I90">
        <v>0</v>
      </c>
      <c r="J90">
        <v>0</v>
      </c>
      <c r="K90">
        <v>0</v>
      </c>
      <c r="L90">
        <v>0</v>
      </c>
    </row>
    <row r="91" spans="1:12" x14ac:dyDescent="0.4">
      <c r="A91" s="34">
        <v>90</v>
      </c>
      <c r="B91" t="s">
        <v>235</v>
      </c>
      <c r="C91" t="s">
        <v>240</v>
      </c>
      <c r="D91">
        <v>9.8256058180514796E+18</v>
      </c>
      <c r="E91" t="s">
        <v>5</v>
      </c>
      <c r="F91">
        <v>1248298</v>
      </c>
      <c r="G91">
        <v>0</v>
      </c>
      <c r="H91">
        <v>0</v>
      </c>
      <c r="I91">
        <v>0</v>
      </c>
      <c r="J91">
        <v>0</v>
      </c>
      <c r="K91">
        <v>0</v>
      </c>
      <c r="L91">
        <v>0</v>
      </c>
    </row>
    <row r="92" spans="1:12" x14ac:dyDescent="0.4">
      <c r="A92" s="34">
        <v>91</v>
      </c>
      <c r="B92" t="s">
        <v>235</v>
      </c>
      <c r="C92" t="s">
        <v>241</v>
      </c>
      <c r="D92">
        <v>1.8789571719853599E+18</v>
      </c>
      <c r="E92" t="s">
        <v>5</v>
      </c>
      <c r="F92">
        <v>1271749</v>
      </c>
      <c r="G92">
        <v>0</v>
      </c>
      <c r="H92">
        <v>0</v>
      </c>
      <c r="I92">
        <v>0</v>
      </c>
      <c r="J92">
        <v>0</v>
      </c>
      <c r="K92">
        <v>0</v>
      </c>
      <c r="L92">
        <v>0</v>
      </c>
    </row>
    <row r="93" spans="1:12" x14ac:dyDescent="0.4">
      <c r="A93" s="34">
        <v>92</v>
      </c>
      <c r="B93" t="s">
        <v>242</v>
      </c>
      <c r="C93" t="s">
        <v>243</v>
      </c>
      <c r="D93">
        <v>1.37756619989842E+19</v>
      </c>
      <c r="E93" t="s">
        <v>5</v>
      </c>
      <c r="F93">
        <v>1258071</v>
      </c>
      <c r="G93">
        <v>108233</v>
      </c>
      <c r="H93">
        <v>0</v>
      </c>
      <c r="I93">
        <v>98304</v>
      </c>
      <c r="J93">
        <v>0</v>
      </c>
      <c r="K93">
        <v>1806</v>
      </c>
      <c r="L93">
        <v>33117892</v>
      </c>
    </row>
    <row r="94" spans="1:12" x14ac:dyDescent="0.4">
      <c r="A94" s="34">
        <v>93</v>
      </c>
      <c r="B94" t="s">
        <v>242</v>
      </c>
      <c r="C94" t="s">
        <v>244</v>
      </c>
      <c r="D94">
        <v>6.8555426884774605E+18</v>
      </c>
      <c r="E94" t="s">
        <v>5</v>
      </c>
      <c r="F94">
        <v>1231297</v>
      </c>
      <c r="G94">
        <v>108261</v>
      </c>
      <c r="H94">
        <v>0</v>
      </c>
      <c r="I94">
        <v>98304</v>
      </c>
      <c r="J94">
        <v>0</v>
      </c>
      <c r="K94">
        <v>1818</v>
      </c>
      <c r="L94">
        <v>33123540</v>
      </c>
    </row>
    <row r="95" spans="1:12" x14ac:dyDescent="0.4">
      <c r="A95" s="34">
        <v>94</v>
      </c>
      <c r="B95" t="s">
        <v>242</v>
      </c>
      <c r="C95" t="s">
        <v>245</v>
      </c>
      <c r="D95">
        <v>2.7341003287548298E+18</v>
      </c>
      <c r="E95" t="s">
        <v>5</v>
      </c>
      <c r="F95">
        <v>1242757</v>
      </c>
      <c r="G95">
        <v>108287</v>
      </c>
      <c r="H95">
        <v>0</v>
      </c>
      <c r="I95">
        <v>98304</v>
      </c>
      <c r="J95">
        <v>0</v>
      </c>
      <c r="K95">
        <v>1809</v>
      </c>
      <c r="L95">
        <v>33121762</v>
      </c>
    </row>
    <row r="96" spans="1:12" x14ac:dyDescent="0.4">
      <c r="A96" s="34">
        <v>95</v>
      </c>
      <c r="B96" t="s">
        <v>242</v>
      </c>
      <c r="C96" t="s">
        <v>246</v>
      </c>
      <c r="D96">
        <v>9.1832568818803702E+18</v>
      </c>
      <c r="E96" t="s">
        <v>5</v>
      </c>
      <c r="F96">
        <v>1254495</v>
      </c>
      <c r="G96">
        <v>108277</v>
      </c>
      <c r="H96">
        <v>0</v>
      </c>
      <c r="I96">
        <v>98304</v>
      </c>
      <c r="J96">
        <v>0</v>
      </c>
      <c r="K96">
        <v>1800</v>
      </c>
      <c r="L96">
        <v>33116076</v>
      </c>
    </row>
    <row r="97" spans="1:12" x14ac:dyDescent="0.4">
      <c r="A97" s="34">
        <v>96</v>
      </c>
      <c r="B97" t="s">
        <v>242</v>
      </c>
      <c r="C97" t="s">
        <v>247</v>
      </c>
      <c r="D97">
        <v>9.8256058180514796E+18</v>
      </c>
      <c r="E97" t="s">
        <v>5</v>
      </c>
      <c r="F97">
        <v>1248298</v>
      </c>
      <c r="G97">
        <v>108296</v>
      </c>
      <c r="H97">
        <v>0</v>
      </c>
      <c r="I97">
        <v>98304</v>
      </c>
      <c r="J97">
        <v>0</v>
      </c>
      <c r="K97">
        <v>1813</v>
      </c>
      <c r="L97">
        <v>33120716</v>
      </c>
    </row>
    <row r="98" spans="1:12" x14ac:dyDescent="0.4">
      <c r="A98" s="34">
        <v>97</v>
      </c>
      <c r="B98" t="s">
        <v>242</v>
      </c>
      <c r="C98" t="s">
        <v>248</v>
      </c>
      <c r="D98">
        <v>1.8789571719853599E+18</v>
      </c>
      <c r="E98" t="s">
        <v>5</v>
      </c>
      <c r="F98">
        <v>1271749</v>
      </c>
      <c r="G98">
        <v>108260</v>
      </c>
      <c r="H98">
        <v>0</v>
      </c>
      <c r="I98">
        <v>98304</v>
      </c>
      <c r="J98">
        <v>0</v>
      </c>
      <c r="K98">
        <v>1805</v>
      </c>
      <c r="L98">
        <v>33113190</v>
      </c>
    </row>
    <row r="99" spans="1:12" x14ac:dyDescent="0.4">
      <c r="A99" s="34">
        <v>98</v>
      </c>
      <c r="B99" t="s">
        <v>7</v>
      </c>
      <c r="C99" t="s">
        <v>7</v>
      </c>
      <c r="D99">
        <v>6.8555426884774605E+18</v>
      </c>
      <c r="E99" t="s">
        <v>5</v>
      </c>
      <c r="F99">
        <v>1231297</v>
      </c>
      <c r="G99">
        <v>0</v>
      </c>
      <c r="H99">
        <v>0</v>
      </c>
      <c r="I99">
        <v>0</v>
      </c>
      <c r="J99">
        <v>0</v>
      </c>
      <c r="K99">
        <v>0</v>
      </c>
      <c r="L99">
        <v>0</v>
      </c>
    </row>
    <row r="100" spans="1:12" x14ac:dyDescent="0.4">
      <c r="A100" s="34">
        <v>99</v>
      </c>
      <c r="B100" t="s">
        <v>4</v>
      </c>
      <c r="C100" t="s">
        <v>4</v>
      </c>
      <c r="D100">
        <v>6.8555426884774605E+18</v>
      </c>
      <c r="E100" t="s">
        <v>5</v>
      </c>
      <c r="F100">
        <v>1231310</v>
      </c>
      <c r="G100">
        <v>0</v>
      </c>
      <c r="H100">
        <v>0</v>
      </c>
      <c r="I100">
        <v>0</v>
      </c>
      <c r="J100">
        <v>0</v>
      </c>
      <c r="K100">
        <v>0</v>
      </c>
      <c r="L100">
        <v>0</v>
      </c>
    </row>
    <row r="101" spans="1:12" x14ac:dyDescent="0.4">
      <c r="A101" s="34">
        <v>100</v>
      </c>
      <c r="B101" t="s">
        <v>11</v>
      </c>
      <c r="C101" t="s">
        <v>11</v>
      </c>
      <c r="D101">
        <v>6.8555426884774605E+18</v>
      </c>
      <c r="E101" t="s">
        <v>5</v>
      </c>
      <c r="F101">
        <v>1231297</v>
      </c>
      <c r="G101">
        <v>0</v>
      </c>
      <c r="H101">
        <v>0</v>
      </c>
      <c r="I101">
        <v>0</v>
      </c>
      <c r="J101">
        <v>0</v>
      </c>
      <c r="K101">
        <v>0</v>
      </c>
      <c r="L101">
        <v>0</v>
      </c>
    </row>
    <row r="102" spans="1:12" x14ac:dyDescent="0.4">
      <c r="A102" s="34">
        <v>101</v>
      </c>
      <c r="B102" t="s">
        <v>12</v>
      </c>
      <c r="C102" t="s">
        <v>12</v>
      </c>
      <c r="D102">
        <v>6.8555426884774605E+18</v>
      </c>
      <c r="E102" t="s">
        <v>5</v>
      </c>
      <c r="F102">
        <v>1231297</v>
      </c>
      <c r="G102">
        <v>1</v>
      </c>
      <c r="H102">
        <v>0</v>
      </c>
      <c r="I102">
        <v>2</v>
      </c>
      <c r="J102">
        <v>0</v>
      </c>
      <c r="K102">
        <v>39</v>
      </c>
      <c r="L102">
        <v>124</v>
      </c>
    </row>
    <row r="103" spans="1:12" x14ac:dyDescent="0.4">
      <c r="A103" s="34">
        <v>102</v>
      </c>
      <c r="B103" t="s">
        <v>6</v>
      </c>
      <c r="C103" t="s">
        <v>6</v>
      </c>
      <c r="D103">
        <v>6.8555426884774605E+18</v>
      </c>
      <c r="E103" t="s">
        <v>5</v>
      </c>
      <c r="F103">
        <v>1231297</v>
      </c>
      <c r="G103">
        <v>8953</v>
      </c>
      <c r="H103">
        <v>8953</v>
      </c>
      <c r="I103">
        <v>35812</v>
      </c>
      <c r="J103">
        <v>0</v>
      </c>
      <c r="K103">
        <v>476</v>
      </c>
      <c r="L103">
        <v>514202</v>
      </c>
    </row>
    <row r="104" spans="1:12" x14ac:dyDescent="0.4">
      <c r="A104" s="34">
        <v>103</v>
      </c>
      <c r="B104" t="s">
        <v>10</v>
      </c>
      <c r="C104" t="s">
        <v>10</v>
      </c>
      <c r="D104">
        <v>6.8555426884774605E+18</v>
      </c>
      <c r="E104" t="s">
        <v>5</v>
      </c>
      <c r="F104">
        <v>1231297</v>
      </c>
      <c r="G104">
        <v>0</v>
      </c>
      <c r="H104">
        <v>0</v>
      </c>
      <c r="I104">
        <v>0</v>
      </c>
      <c r="J104">
        <v>0</v>
      </c>
      <c r="K104">
        <v>0</v>
      </c>
      <c r="L104">
        <v>0</v>
      </c>
    </row>
    <row r="105" spans="1:12" x14ac:dyDescent="0.4">
      <c r="A105" s="34">
        <v>104</v>
      </c>
      <c r="B105" t="s">
        <v>9</v>
      </c>
      <c r="C105" t="s">
        <v>9</v>
      </c>
      <c r="D105">
        <v>6.8555426884774605E+18</v>
      </c>
      <c r="E105" t="s">
        <v>5</v>
      </c>
      <c r="F105">
        <v>1231297</v>
      </c>
      <c r="G105">
        <v>0</v>
      </c>
      <c r="H105">
        <v>0</v>
      </c>
      <c r="I105">
        <v>0</v>
      </c>
      <c r="J105">
        <v>0</v>
      </c>
      <c r="K105">
        <v>0</v>
      </c>
      <c r="L105">
        <v>0</v>
      </c>
    </row>
    <row r="106" spans="1:12" x14ac:dyDescent="0.4">
      <c r="A106" s="34">
        <v>105</v>
      </c>
      <c r="B106" t="s">
        <v>8</v>
      </c>
      <c r="C106" t="s">
        <v>8</v>
      </c>
      <c r="D106">
        <v>6.8555426884774605E+18</v>
      </c>
      <c r="E106" t="s">
        <v>5</v>
      </c>
      <c r="F106">
        <v>1231297</v>
      </c>
      <c r="G106">
        <v>2</v>
      </c>
      <c r="H106">
        <v>4</v>
      </c>
      <c r="I106">
        <v>12</v>
      </c>
      <c r="J106">
        <v>0</v>
      </c>
      <c r="K106">
        <v>0</v>
      </c>
      <c r="L106">
        <v>2074</v>
      </c>
    </row>
    <row r="107" spans="1:12" x14ac:dyDescent="0.4">
      <c r="A107" s="34">
        <v>106</v>
      </c>
      <c r="B107" t="s">
        <v>14</v>
      </c>
      <c r="C107" t="s">
        <v>14</v>
      </c>
      <c r="D107">
        <v>6.8555426884774605E+18</v>
      </c>
      <c r="E107" t="s">
        <v>5</v>
      </c>
      <c r="F107">
        <v>1231310</v>
      </c>
      <c r="G107">
        <v>0</v>
      </c>
      <c r="H107">
        <v>0</v>
      </c>
      <c r="I107">
        <v>0</v>
      </c>
      <c r="J107">
        <v>0</v>
      </c>
      <c r="K107">
        <v>0</v>
      </c>
      <c r="L107">
        <v>0</v>
      </c>
    </row>
    <row r="108" spans="1:12" x14ac:dyDescent="0.4">
      <c r="C108" s="3" t="s">
        <v>82</v>
      </c>
      <c r="D108">
        <f>SUBTOTAL(103,Table2[Host ID])</f>
        <v>106</v>
      </c>
      <c r="F108" s="3" t="s">
        <v>17</v>
      </c>
      <c r="G108" s="29">
        <f>SUBTOTAL(109,Table2[Forest Size (MB)])</f>
        <v>9874440</v>
      </c>
      <c r="H108" s="29">
        <f>SUBTOTAL(109,Table2[Replicated (MB)])</f>
        <v>9097</v>
      </c>
      <c r="I108" s="29">
        <f>SUBTOTAL(109,Table2[Forest Reserve (MB)])</f>
        <v>5609664</v>
      </c>
      <c r="J108" s="29">
        <f>SUBTOTAL(109,Table2[Large Date (MB)])</f>
        <v>0</v>
      </c>
      <c r="K108" s="29">
        <f>SUBTOTAL(109,Table2[Journals (MB)])</f>
        <v>116616</v>
      </c>
      <c r="L108" s="29">
        <f>SUBTOTAL(109,Table2[Doc Count])</f>
        <v>3251100533</v>
      </c>
    </row>
    <row r="109" spans="1:12" x14ac:dyDescent="0.4">
      <c r="C109" s="3" t="s">
        <v>83</v>
      </c>
      <c r="D109">
        <f>COUNT(Table2[Host ID])</f>
        <v>106</v>
      </c>
      <c r="F109" s="3" t="s">
        <v>16</v>
      </c>
      <c r="G109" s="2">
        <f>Table2[[#Totals],[Forest Size (MB)]]/1024</f>
        <v>9643.0078125</v>
      </c>
      <c r="H109" s="2">
        <f>Table2[[#Totals],[Replicated (MB)]]/1024</f>
        <v>8.8837890625</v>
      </c>
      <c r="I109" s="2">
        <f>Table2[[#Totals],[Forest Reserve (MB)]]/1024</f>
        <v>5478.1875</v>
      </c>
      <c r="J109" s="2">
        <f>Table2[[#Totals],[Large Date (MB)]]/1024</f>
        <v>0</v>
      </c>
      <c r="K109" s="2">
        <f>Table2[[#Totals],[Journals (MB)]]/1024</f>
        <v>113.8828125</v>
      </c>
      <c r="L109" s="2"/>
    </row>
    <row r="110" spans="1:12" x14ac:dyDescent="0.4">
      <c r="F110" s="3" t="s">
        <v>15</v>
      </c>
      <c r="G110" s="2">
        <f>G109/1024</f>
        <v>9.4169998168945313</v>
      </c>
      <c r="H110" s="2">
        <f>H109/1024</f>
        <v>8.6755752563476563E-3</v>
      </c>
      <c r="I110" s="2">
        <f>I109/1024</f>
        <v>5.34979248046875</v>
      </c>
      <c r="J110" s="2">
        <f>J109/1024</f>
        <v>0</v>
      </c>
      <c r="K110" s="2">
        <f>K109/1024</f>
        <v>0.11121368408203125</v>
      </c>
      <c r="L110" s="2"/>
    </row>
    <row r="112" spans="1:12" x14ac:dyDescent="0.4">
      <c r="I112" s="2"/>
      <c r="J112" s="2"/>
    </row>
    <row r="113" spans="9:9" x14ac:dyDescent="0.4">
      <c r="I113"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Forest Storage Projection</vt:lpstr>
      <vt:lpstr>Starting Forest Report</vt:lpstr>
      <vt:lpstr>Ending Forest Report</vt:lpstr>
      <vt:lpstr>'Forest Storage Projection'!Print_Area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Hartwig</dc:creator>
  <cp:lastModifiedBy>Brent Hartwig</cp:lastModifiedBy>
  <cp:lastPrinted>2021-10-15T16:09:48Z</cp:lastPrinted>
  <dcterms:created xsi:type="dcterms:W3CDTF">2021-10-14T16:54:31Z</dcterms:created>
  <dcterms:modified xsi:type="dcterms:W3CDTF">2023-01-05T20:02:10Z</dcterms:modified>
</cp:coreProperties>
</file>