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CAA94E2-579B-41EA-9D49-98C9958A03F1}" xr6:coauthVersionLast="47" xr6:coauthVersionMax="47" xr10:uidLastSave="{00000000-0000-0000-0000-000000000000}"/>
  <bookViews>
    <workbookView xWindow="-108" yWindow="-108" windowWidth="23256" windowHeight="12576" tabRatio="953" firstSheet="70" activeTab="74" xr2:uid="{FB8C51AB-905F-4544-9E4B-1F4384FA855C}"/>
  </bookViews>
  <sheets>
    <sheet name="Overview" sheetId="33" r:id="rId1"/>
    <sheet name="Schematic" sheetId="82" r:id="rId2"/>
    <sheet name="ProductionTanks" sheetId="34" state="hidden" r:id="rId3"/>
    <sheet name="SWDSites" sheetId="4" r:id="rId4"/>
    <sheet name="WaterQualityComponents" sheetId="146" r:id="rId5"/>
    <sheet name="StorageSites" sheetId="36" r:id="rId6"/>
    <sheet name="TreatmentSites" sheetId="37" r:id="rId7"/>
    <sheet name="TreatmentTechnologies" sheetId="104" r:id="rId8"/>
    <sheet name="ReuseOptions" sheetId="38" r:id="rId9"/>
    <sheet name="NetworkNodes" sheetId="39" r:id="rId10"/>
    <sheet name="PipelineDiameters" sheetId="53" r:id="rId11"/>
    <sheet name="StorageCapacities" sheetId="54" r:id="rId12"/>
    <sheet name="TreatmentCapacities" sheetId="86" r:id="rId13"/>
    <sheet name="InjectionCapacities" sheetId="55" r:id="rId14"/>
    <sheet name="PNA" sheetId="56" r:id="rId15"/>
    <sheet name="CNA" sheetId="57" r:id="rId16"/>
    <sheet name="CCA" sheetId="73" r:id="rId17"/>
    <sheet name="NNA" sheetId="58" r:id="rId18"/>
    <sheet name="NCA" sheetId="59" r:id="rId19"/>
    <sheet name="NKA" sheetId="60" r:id="rId20"/>
    <sheet name="NRA" sheetId="61" r:id="rId21"/>
    <sheet name="NSA" sheetId="76" r:id="rId22"/>
    <sheet name="NOA" sheetId="119" r:id="rId23"/>
    <sheet name="SNA" sheetId="77" r:id="rId24"/>
    <sheet name="SOA" sheetId="120" r:id="rId25"/>
    <sheet name="FCA" sheetId="41" r:id="rId26"/>
    <sheet name="RCA" sheetId="83" r:id="rId27"/>
    <sheet name="RSA" sheetId="105" r:id="rId28"/>
    <sheet name="SCA" sheetId="108" r:id="rId29"/>
    <sheet name="RNA" sheetId="62" r:id="rId30"/>
    <sheet name="ROA" sheetId="121" r:id="rId31"/>
    <sheet name="RKA" sheetId="134" r:id="rId32"/>
    <sheet name="PCT" sheetId="42" r:id="rId33"/>
    <sheet name="FCT" sheetId="70" r:id="rId34"/>
    <sheet name="PKT" sheetId="43" r:id="rId35"/>
    <sheet name="CKT" sheetId="44" r:id="rId36"/>
    <sheet name="CCT" sheetId="74" r:id="rId37"/>
    <sheet name="CST" sheetId="64" r:id="rId38"/>
    <sheet name="RST" sheetId="122" r:id="rId39"/>
    <sheet name="ROT" sheetId="123" r:id="rId40"/>
    <sheet name="SOT" sheetId="124" r:id="rId41"/>
    <sheet name="RKT" sheetId="135" r:id="rId42"/>
    <sheet name="Elevation" sheetId="115" r:id="rId43"/>
    <sheet name="CompletionsDemand" sheetId="8" r:id="rId44"/>
    <sheet name="PadRates" sheetId="65" r:id="rId45"/>
    <sheet name="FlowbackRates" sheetId="75" r:id="rId46"/>
    <sheet name="WellPressure" sheetId="116" r:id="rId47"/>
    <sheet name="InitialPipelineCapacity" sheetId="118" r:id="rId48"/>
    <sheet name="InitialPipelineDiameters" sheetId="117" r:id="rId49"/>
    <sheet name="InitialDisposalCapacity" sheetId="46" r:id="rId50"/>
    <sheet name="InitialStorageCapacity" sheetId="80" r:id="rId51"/>
    <sheet name="InitialTreatmentCapacity" sheetId="67" r:id="rId52"/>
    <sheet name="ReuseMinimum" sheetId="125" r:id="rId53"/>
    <sheet name="ReuseCapacity" sheetId="126" r:id="rId54"/>
    <sheet name="ExtWaterSourcingAvailability" sheetId="47" r:id="rId55"/>
    <sheet name="CompletionsPadStorage" sheetId="72" r:id="rId56"/>
    <sheet name="PadOffloadingCapacity" sheetId="48" r:id="rId57"/>
    <sheet name="NodeCapacities" sheetId="102" r:id="rId58"/>
    <sheet name="DisposalOperatingCapacity" sheetId="112" r:id="rId59"/>
    <sheet name="DisposalOperationalCost" sheetId="49" r:id="rId60"/>
    <sheet name="TreatmentOperationalCost" sheetId="68" r:id="rId61"/>
    <sheet name="ReuseOperationalCost" sheetId="50" r:id="rId62"/>
    <sheet name="PipelineOperationalCost" sheetId="69" r:id="rId63"/>
    <sheet name="ExternalSourcingCost" sheetId="52" r:id="rId64"/>
    <sheet name="TruckingHourlyCost" sheetId="71" r:id="rId65"/>
    <sheet name="TruckingTime" sheetId="7" r:id="rId66"/>
    <sheet name="DisposalExpansionCost" sheetId="90" r:id="rId67"/>
    <sheet name="DisposalCapacityIncrements" sheetId="79" r:id="rId68"/>
    <sheet name="StorageExpansionCost" sheetId="91" r:id="rId69"/>
    <sheet name="StorageCapacityIncrements" sheetId="81" r:id="rId70"/>
    <sheet name="TreatmentExpansionCost" sheetId="92" r:id="rId71"/>
    <sheet name="TreatmentCapacityIncrements" sheetId="87" r:id="rId72"/>
    <sheet name="PipelineCapexDistanceBased" sheetId="89" r:id="rId73"/>
    <sheet name="PipelineExpansionDistance" sheetId="133" r:id="rId74"/>
    <sheet name="PipelineCapacityIncrements" sheetId="97" r:id="rId75"/>
    <sheet name="PipelineDiameterValues" sheetId="78" r:id="rId76"/>
    <sheet name="TreatmentEfficiency" sheetId="107" r:id="rId77"/>
    <sheet name="RemovalEfficiency" sheetId="114" r:id="rId78"/>
    <sheet name="DesalinationTechnologies" sheetId="111" r:id="rId79"/>
    <sheet name="DesalinationSites" sheetId="113" r:id="rId80"/>
    <sheet name="BeneficialReuseCost" sheetId="136" r:id="rId81"/>
    <sheet name="BeneficialReuseCredit" sheetId="127" r:id="rId82"/>
    <sheet name="CompletionsPadOutsideSystem" sheetId="110" r:id="rId83"/>
    <sheet name="Hydraulics" sheetId="93" r:id="rId84"/>
    <sheet name="Economics" sheetId="95" r:id="rId85"/>
    <sheet name="ExternalWaterQuality" sheetId="147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  <sheet name="SWDDeep" sheetId="144" r:id="rId95"/>
    <sheet name="SWDAveragePressure" sheetId="145" r:id="rId96"/>
    <sheet name="SWDProxPAWell" sheetId="137" r:id="rId97"/>
    <sheet name="SWDProxInactiveWell" sheetId="139" r:id="rId98"/>
    <sheet name="SWDProxEQ" sheetId="140" r:id="rId99"/>
    <sheet name="SWDProxFault" sheetId="141" r:id="rId100"/>
    <sheet name="SWDProxHpOrLpWell" sheetId="142" r:id="rId101"/>
    <sheet name="SWDRiskFactors" sheetId="143" r:id="rId102"/>
  </sheets>
  <definedNames>
    <definedName name="_xlnm._FilterDatabase" localSheetId="73" hidden="1">#REF!</definedName>
    <definedName name="_xlnm.Extract" localSheetId="73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<sst xmlns="http://schemas.openxmlformats.org/spreadsheetml/2006/main" count="1576" uniqueCount="261">
  <si>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</si>
  <si>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</si>
  <si>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</si>
  <si>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</si>
  <si>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</si>
  <si>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</si>
  <si>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</si>
  <si>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</si>
  <si>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</si>
  <si>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</si>
  <si>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</si>
  <si>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</si>
  <si>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</si>
  <si>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</si>
  <si>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</si>
  <si>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</si>
  <si>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</si>
  <si>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</si>
  <si>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</si>
  <si>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</si>
  <si>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</si>
  <si>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</si>
  <si>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</si>
  <si>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</si>
  <si>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</si>
  <si>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</si>
  <si>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</si>
  <si>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</si>
  <si>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</si>
  <si>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</si>
  <si>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</si>
  <si>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</si>
  <si>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</si>
  <si>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</si>
  <si>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</si>
  <si>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</si>
  <si>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</si>
  <si>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</si>
  <si>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</si>
  <si>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</si>
  <si>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</si>
  <si>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</si>
  <si>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INDEX</t>
  </si>
  <si>
    <t>VALUE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</si>
  <si>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</si>
  <si>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</si>
  <si>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</si>
  <si>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</si>
  <si>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</si>
  <si>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</si>
  <si>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</si>
  <si>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</si>
  <si>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</si>
  <si>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</si>
  <si>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</si>
  <si>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</si>
  <si>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</si>
  <si>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</si>
  <si>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</si>
  <si>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</si>
  <si>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</si>
  <si>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</si>
  <si>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</si>
  <si>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</si>
  <si>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</si>
  <si>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</si>
  <si>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</si>
  <si>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</si>
  <si>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</si>
  <si>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</si>
  <si>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</si>
  <si>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</si>
  <si>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</si>
  <si>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</si>
  <si>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</si>
  <si>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</si>
  <si>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</si>
  <si>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</si>
  <si>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</si>
  <si>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</si>
  <si>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</si>
  <si>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</si>
  <si>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</si>
  <si>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</si>
  <si>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</si>
  <si>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</si>
  <si>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</si>
  <si>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</si>
  <si>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</si>
  <si>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</si>
  <si>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</si>
  <si>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</si>
  <si>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</si>
  <si>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</si>
  <si>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</si>
  <si>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</si>
  <si>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</si>
  <si>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</si>
  <si>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</si>
  <si>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</si>
  <si>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</si>
  <si>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</si>
  <si>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</si>
  <si>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</si>
  <si>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</si>
  <si>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</si>
  <si>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</si>
  <si>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</si>
  <si>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</si>
  <si>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</si>
  <si>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</si>
  <si>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</si>
  <si>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</si>
  <si>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</si>
  <si>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</si>
  <si>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</si>
  <si>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</si>
  <si>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</si>
  <si>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</si>
  <si>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</si>
  <si>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</si>
  <si>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</si>
  <si>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</si>
  <si>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</si>
  <si>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</si>
  <si>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</si>
  <si>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</si>
  <si>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</si>
  <si>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</si>
  <si>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</si>
  <si>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</si>
  <si>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</si>
  <si>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</si>
  <si>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</si>
  <si>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</si>
  <si>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</si>
  <si>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</si>
  <si>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</si>
  <si>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</si>
  <si>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</si>
  <si>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</si>
  <si>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</si>
  <si>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</si>
  <si>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</si>
  <si>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</si>
  <si>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</si>
  <si>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</si>
  <si>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</si>
  <si>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</si>
  <si>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</si>
  <si>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</si>
  <si>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</si>
  <si>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</si>
  <si>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</si>
  <si>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</si>
  <si>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</si>
  <si>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</si>
  <si>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</si>
  <si>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</si>
  <si>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</si>
  <si>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</si>
  <si>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</si>
  <si>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</si>
  <si>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</si>
  <si>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</si>
  <si>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</si>
  <si>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</si>
  <si>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</si>
  <si>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</si>
  <si>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</si>
  <si>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</si>
  <si>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</si>
  <si>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</si>
  <si>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</si>
  <si>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</si>
  <si>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</si>
  <si>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</si>
  <si>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</si>
  <si>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</si>
  <si>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</si>
  <si>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</si>
  <si>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</si>
  <si>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</si>
  <si>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</si>
  <si>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</si>
  <si>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</si>
  <si>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</si>
  <si>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</si>
  <si>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</si>
  <si>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</si>
  <si>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</si>
  <si>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</si>
  <si>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</si>
  <si>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</si>
  <si>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</si>
  <si>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</si>
  <si>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</si>
  <si>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</si>
  <si>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</si>
  <si>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</si>
  <si>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</si>
  <si>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</si>
  <si>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</si>
  <si>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</si>
  <si>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</si>
  <si>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</si>
  <si>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</si>
  <si>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</si>
  <si>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psi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</si>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</sst>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3" fontId="1" fillId="3" borderId="33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43" fontId="1" fillId="3" borderId="41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3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1" xfId="0" applyFont="1" applyFill="1" applyBorder="1"/>
    <xf numFmtId="0" fontId="1" fillId="2" borderId="32" xfId="0" applyFont="1" applyFill="1" applyBorder="1"/>
    <xf numFmtId="0" fontId="3" fillId="2" borderId="39" xfId="0" applyFont="1" applyFill="1" applyBorder="1"/>
    <xf numFmtId="0" fontId="1" fillId="2" borderId="40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3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7" xfId="0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257</v>
      </c>
      <c r="D31" s="17"/>
      <c r="E31" s="17"/>
      <c r="F31" s="17" t="s">
        <v>256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77</v>
      </c>
    </row>
    <row r="2" spans="1:16" x14ac:dyDescent="0.3">
      <c r="A2" s="2" t="s">
        <v>78</v>
      </c>
    </row>
    <row r="3" spans="1:16" x14ac:dyDescent="0.3">
      <c r="A3" s="2" t="s">
        <v>79</v>
      </c>
      <c r="N3" s="11"/>
      <c r="O3" s="11"/>
      <c r="P3" s="11"/>
    </row>
    <row r="4" spans="1:16" x14ac:dyDescent="0.3">
      <c r="A4" s="2" t="s">
        <v>80</v>
      </c>
    </row>
    <row r="5" spans="1:16" x14ac:dyDescent="0.3">
      <c r="A5" s="2" t="s">
        <v>81</v>
      </c>
    </row>
    <row r="6" spans="1:16" x14ac:dyDescent="0.3">
      <c r="A6" s="2" t="s">
        <v>82</v>
      </c>
    </row>
    <row r="7" spans="1:16" x14ac:dyDescent="0.3">
      <c r="A7" s="2" t="s">
        <v>83</v>
      </c>
    </row>
    <row r="8" spans="1:16" x14ac:dyDescent="0.3">
      <c r="A8" s="2" t="s">
        <v>84</v>
      </c>
    </row>
    <row r="9" spans="1:16" x14ac:dyDescent="0.3">
      <c r="A9" s="2" t="s">
        <v>85</v>
      </c>
    </row>
    <row r="10" spans="1:16" x14ac:dyDescent="0.3">
      <c r="A10" s="2" t="s">
        <v>86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251</v>
      </c>
    </row>
    <row r="2" spans="1:2" x14ac:dyDescent="0.3">
      <c r="A2" s="4" t="s">
        <v>181</v>
      </c>
      <c r="B2" s="115" t="s">
        <v>189</v>
      </c>
    </row>
    <row r="3" spans="1:2" x14ac:dyDescent="0.3">
      <c r="A3" s="26" t="s">
        <v>65</v>
      </c>
      <c r="B3" s="29">
        <v>3.03</v>
      </c>
    </row>
    <row r="4" spans="1:2" ht="16.2" thickBot="1" x14ac:dyDescent="0.35">
      <c r="A4" s="27" t="s">
        <v>66</v>
      </c>
      <c r="B4" s="9">
        <v>4.1900000000000004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252</v>
      </c>
    </row>
    <row r="2" spans="1:2" x14ac:dyDescent="0.3">
      <c r="A2" s="4" t="s">
        <v>181</v>
      </c>
      <c r="B2" s="115" t="s">
        <v>189</v>
      </c>
    </row>
    <row r="3" spans="1:2" x14ac:dyDescent="0.3">
      <c r="A3" s="26" t="s">
        <v>65</v>
      </c>
      <c r="B3" s="29">
        <v>0.36</v>
      </c>
    </row>
    <row r="4" spans="1:2" ht="16.2" thickBot="1" x14ac:dyDescent="0.35">
      <c r="A4" s="27" t="s">
        <v>66</v>
      </c>
      <c r="B4" s="9">
        <v>2.8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17" bestFit="1" customWidth="1"/>
    <col min="2" max="16384" width="9.109375" style="117"/>
  </cols>
  <sheetData>
    <row r="1" spans="1:3" ht="16.2" thickBot="1" x14ac:dyDescent="0.35">
      <c r="A1" s="116" t="s">
        <v>253</v>
      </c>
    </row>
    <row r="2" spans="1:3" x14ac:dyDescent="0.3">
      <c r="A2" s="118" t="s">
        <v>42</v>
      </c>
      <c r="B2" s="119" t="s">
        <v>189</v>
      </c>
    </row>
    <row r="3" spans="1:3" x14ac:dyDescent="0.3">
      <c r="A3" s="120" t="s">
        <v>234</v>
      </c>
      <c r="B3" s="121">
        <v>1.86</v>
      </c>
    </row>
    <row r="4" spans="1:3" x14ac:dyDescent="0.3">
      <c r="A4" s="120" t="s">
        <v>235</v>
      </c>
      <c r="B4" s="121">
        <v>2</v>
      </c>
    </row>
    <row r="5" spans="1:3" x14ac:dyDescent="0.3">
      <c r="A5" s="120" t="s">
        <v>236</v>
      </c>
      <c r="B5" s="121">
        <v>1.86</v>
      </c>
    </row>
    <row r="6" spans="1:3" x14ac:dyDescent="0.3">
      <c r="A6" s="120" t="s">
        <v>237</v>
      </c>
      <c r="B6" s="121">
        <v>2</v>
      </c>
    </row>
    <row r="7" spans="1:3" x14ac:dyDescent="0.3">
      <c r="A7" s="120" t="s">
        <v>238</v>
      </c>
      <c r="B7" s="121">
        <v>5.59</v>
      </c>
    </row>
    <row r="8" spans="1:3" x14ac:dyDescent="0.3">
      <c r="A8" s="120" t="s">
        <v>239</v>
      </c>
      <c r="B8" s="121">
        <v>1</v>
      </c>
    </row>
    <row r="9" spans="1:3" x14ac:dyDescent="0.3">
      <c r="A9" s="120" t="s">
        <v>242</v>
      </c>
      <c r="B9" s="121">
        <v>5.59</v>
      </c>
    </row>
    <row r="10" spans="1:3" x14ac:dyDescent="0.3">
      <c r="A10" s="120" t="s">
        <v>243</v>
      </c>
      <c r="B10" s="121">
        <v>1</v>
      </c>
    </row>
    <row r="11" spans="1:3" x14ac:dyDescent="0.3">
      <c r="A11" s="120" t="s">
        <v>244</v>
      </c>
      <c r="B11" s="121">
        <v>1.86</v>
      </c>
    </row>
    <row r="12" spans="1:3" x14ac:dyDescent="0.3">
      <c r="A12" s="120" t="s">
        <v>245</v>
      </c>
      <c r="B12" s="121">
        <v>2</v>
      </c>
    </row>
    <row r="13" spans="1:3" x14ac:dyDescent="0.3">
      <c r="A13" s="120" t="s">
        <v>246</v>
      </c>
      <c r="B13" s="121">
        <v>0.7</v>
      </c>
      <c r="C13" s="117" t="s">
        <v>248</v>
      </c>
    </row>
    <row r="14" spans="1:3" ht="16.2" thickBot="1" x14ac:dyDescent="0.35">
      <c r="A14" s="122" t="s">
        <v>247</v>
      </c>
      <c r="B14" s="123">
        <v>0.5</v>
      </c>
      <c r="C14" s="117" t="s">
        <v>248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C9" sqref="C9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87</v>
      </c>
    </row>
    <row r="2" spans="1:1" x14ac:dyDescent="0.3">
      <c r="A2" s="2" t="s">
        <v>88</v>
      </c>
    </row>
    <row r="3" spans="1:1" x14ac:dyDescent="0.3">
      <c r="A3" s="2" t="s">
        <v>89</v>
      </c>
    </row>
    <row r="4" spans="1:1" x14ac:dyDescent="0.3">
      <c r="A4" s="2" t="s">
        <v>90</v>
      </c>
    </row>
    <row r="5" spans="1:1" x14ac:dyDescent="0.3">
      <c r="A5" s="2" t="s">
        <v>91</v>
      </c>
    </row>
    <row r="6" spans="1:1" x14ac:dyDescent="0.3">
      <c r="A6" s="2" t="s">
        <v>92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93</v>
      </c>
    </row>
    <row r="2" spans="1:16" x14ac:dyDescent="0.3">
      <c r="A2" s="2" t="s">
        <v>94</v>
      </c>
    </row>
    <row r="3" spans="1:16" x14ac:dyDescent="0.3">
      <c r="A3" s="2" t="s">
        <v>95</v>
      </c>
      <c r="N3" s="11"/>
      <c r="O3" s="11"/>
      <c r="P3" s="11"/>
    </row>
    <row r="4" spans="1:16" x14ac:dyDescent="0.3">
      <c r="A4" s="2" t="s">
        <v>96</v>
      </c>
    </row>
    <row r="5" spans="1:16" x14ac:dyDescent="0.3">
      <c r="A5" s="2" t="s">
        <v>97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98</v>
      </c>
    </row>
    <row r="2" spans="1:16" x14ac:dyDescent="0.3">
      <c r="A2" s="2" t="s">
        <v>99</v>
      </c>
    </row>
    <row r="3" spans="1:16" x14ac:dyDescent="0.3">
      <c r="A3" s="2" t="s">
        <v>100</v>
      </c>
      <c r="N3" s="11"/>
      <c r="O3" s="11"/>
      <c r="P3" s="11"/>
    </row>
    <row r="4" spans="1:16" x14ac:dyDescent="0.3">
      <c r="A4" s="2" t="s">
        <v>101</v>
      </c>
    </row>
    <row r="5" spans="1:16" x14ac:dyDescent="0.3">
      <c r="A5" s="2" t="s">
        <v>102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103</v>
      </c>
    </row>
    <row r="2" spans="1:16" x14ac:dyDescent="0.3">
      <c r="A2" s="2" t="s">
        <v>104</v>
      </c>
    </row>
    <row r="3" spans="1:16" x14ac:dyDescent="0.3">
      <c r="A3" s="2" t="s">
        <v>105</v>
      </c>
      <c r="N3" s="11"/>
      <c r="O3" s="11"/>
      <c r="P3" s="11"/>
    </row>
    <row r="4" spans="1:16" x14ac:dyDescent="0.3">
      <c r="A4" s="2" t="s">
        <v>106</v>
      </c>
    </row>
    <row r="5" spans="1:16" x14ac:dyDescent="0.3">
      <c r="A5" s="2" t="s">
        <v>107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108</v>
      </c>
    </row>
    <row r="2" spans="1:11" s="6" customFormat="1" x14ac:dyDescent="0.3">
      <c r="A2" s="4" t="s">
        <v>109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25" t="s">
        <v>86</v>
      </c>
      <c r="K2" s="11"/>
    </row>
    <row r="3" spans="1:11" s="6" customFormat="1" x14ac:dyDescent="0.3">
      <c r="A3" s="26" t="s">
        <v>44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45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46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47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110</v>
      </c>
    </row>
    <row r="2" spans="1:11" s="6" customFormat="1" x14ac:dyDescent="0.3">
      <c r="A2" s="4" t="s">
        <v>111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25" t="s">
        <v>86</v>
      </c>
      <c r="K2" s="11"/>
    </row>
    <row r="3" spans="1:11" s="6" customFormat="1" ht="16.2" thickBot="1" x14ac:dyDescent="0.35">
      <c r="A3" s="27" t="s">
        <v>63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112</v>
      </c>
    </row>
    <row r="2" spans="1:2" s="6" customFormat="1" x14ac:dyDescent="0.3">
      <c r="A2" s="4" t="s">
        <v>111</v>
      </c>
      <c r="B2" s="25" t="s">
        <v>63</v>
      </c>
    </row>
    <row r="3" spans="1:2" ht="16.2" thickBot="1" x14ac:dyDescent="0.35">
      <c r="A3" s="27" t="s">
        <v>63</v>
      </c>
      <c r="B3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113</v>
      </c>
    </row>
    <row r="2" spans="1:11" s="6" customFormat="1" x14ac:dyDescent="0.3">
      <c r="A2" s="4" t="s">
        <v>114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25" t="s">
        <v>86</v>
      </c>
      <c r="K2" s="11"/>
    </row>
    <row r="3" spans="1:11" s="6" customFormat="1" x14ac:dyDescent="0.3">
      <c r="A3" s="26" t="s">
        <v>78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79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80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81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82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83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84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85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86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115</v>
      </c>
    </row>
    <row r="2" spans="1:2" s="6" customFormat="1" x14ac:dyDescent="0.3">
      <c r="A2" s="4" t="s">
        <v>114</v>
      </c>
      <c r="B2" s="25" t="s">
        <v>63</v>
      </c>
    </row>
    <row r="3" spans="1:2" x14ac:dyDescent="0.3">
      <c r="A3" s="26" t="s">
        <v>78</v>
      </c>
      <c r="B3" s="29"/>
    </row>
    <row r="4" spans="1:2" x14ac:dyDescent="0.3">
      <c r="A4" s="26" t="s">
        <v>79</v>
      </c>
      <c r="B4" s="29"/>
    </row>
    <row r="5" spans="1:2" x14ac:dyDescent="0.3">
      <c r="A5" s="26" t="s">
        <v>80</v>
      </c>
      <c r="B5" s="29"/>
    </row>
    <row r="6" spans="1:2" x14ac:dyDescent="0.3">
      <c r="A6" s="26" t="s">
        <v>81</v>
      </c>
      <c r="B6" s="29"/>
    </row>
    <row r="7" spans="1:2" x14ac:dyDescent="0.3">
      <c r="A7" s="26" t="s">
        <v>82</v>
      </c>
      <c r="B7" s="29"/>
    </row>
    <row r="8" spans="1:2" x14ac:dyDescent="0.3">
      <c r="A8" s="26" t="s">
        <v>83</v>
      </c>
      <c r="B8" s="29"/>
    </row>
    <row r="9" spans="1:2" x14ac:dyDescent="0.3">
      <c r="A9" s="26" t="s">
        <v>84</v>
      </c>
      <c r="B9" s="29"/>
    </row>
    <row r="10" spans="1:2" x14ac:dyDescent="0.3">
      <c r="A10" s="26" t="s">
        <v>85</v>
      </c>
      <c r="B10" s="29"/>
    </row>
    <row r="11" spans="1:2" ht="16.2" thickBot="1" x14ac:dyDescent="0.35">
      <c r="A11" s="27" t="s">
        <v>86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116</v>
      </c>
    </row>
    <row r="2" spans="1:3" s="6" customFormat="1" x14ac:dyDescent="0.3">
      <c r="A2" s="4" t="s">
        <v>114</v>
      </c>
      <c r="B2" s="5" t="s">
        <v>65</v>
      </c>
      <c r="C2" s="25" t="s">
        <v>66</v>
      </c>
    </row>
    <row r="3" spans="1:3" x14ac:dyDescent="0.3">
      <c r="A3" s="26" t="s">
        <v>78</v>
      </c>
      <c r="B3" s="7">
        <v>1</v>
      </c>
      <c r="C3" s="29"/>
    </row>
    <row r="4" spans="1:3" x14ac:dyDescent="0.3">
      <c r="A4" s="26" t="s">
        <v>79</v>
      </c>
      <c r="B4" s="7"/>
      <c r="C4" s="29"/>
    </row>
    <row r="5" spans="1:3" x14ac:dyDescent="0.3">
      <c r="A5" s="26" t="s">
        <v>80</v>
      </c>
      <c r="B5" s="7"/>
      <c r="C5" s="29"/>
    </row>
    <row r="6" spans="1:3" x14ac:dyDescent="0.3">
      <c r="A6" s="26" t="s">
        <v>81</v>
      </c>
      <c r="B6" s="7"/>
      <c r="C6" s="29">
        <v>1</v>
      </c>
    </row>
    <row r="7" spans="1:3" x14ac:dyDescent="0.3">
      <c r="A7" s="26" t="s">
        <v>82</v>
      </c>
      <c r="B7" s="7"/>
      <c r="C7" s="29"/>
    </row>
    <row r="8" spans="1:3" x14ac:dyDescent="0.3">
      <c r="A8" s="26" t="s">
        <v>83</v>
      </c>
      <c r="B8" s="7"/>
      <c r="C8" s="29"/>
    </row>
    <row r="9" spans="1:3" x14ac:dyDescent="0.3">
      <c r="A9" s="26" t="s">
        <v>84</v>
      </c>
      <c r="B9" s="7"/>
      <c r="C9" s="29"/>
    </row>
    <row r="10" spans="1:3" x14ac:dyDescent="0.3">
      <c r="A10" s="26" t="s">
        <v>85</v>
      </c>
      <c r="B10" s="7"/>
      <c r="C10" s="29"/>
    </row>
    <row r="11" spans="1:3" ht="16.2" thickBot="1" x14ac:dyDescent="0.35">
      <c r="A11" s="27" t="s">
        <v>86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117</v>
      </c>
    </row>
    <row r="2" spans="1:3" s="6" customFormat="1" x14ac:dyDescent="0.3">
      <c r="A2" s="4" t="s">
        <v>114</v>
      </c>
      <c r="B2" s="5" t="s">
        <v>72</v>
      </c>
      <c r="C2" s="25" t="s">
        <v>73</v>
      </c>
    </row>
    <row r="3" spans="1:3" x14ac:dyDescent="0.3">
      <c r="A3" s="26" t="s">
        <v>78</v>
      </c>
      <c r="B3" s="7"/>
      <c r="C3" s="29"/>
    </row>
    <row r="4" spans="1:3" x14ac:dyDescent="0.3">
      <c r="A4" s="26" t="s">
        <v>79</v>
      </c>
      <c r="B4" s="7"/>
      <c r="C4" s="29"/>
    </row>
    <row r="5" spans="1:3" x14ac:dyDescent="0.3">
      <c r="A5" s="26" t="s">
        <v>80</v>
      </c>
      <c r="B5" s="7">
        <v>1</v>
      </c>
      <c r="C5" s="29"/>
    </row>
    <row r="6" spans="1:3" x14ac:dyDescent="0.3">
      <c r="A6" s="26" t="s">
        <v>81</v>
      </c>
      <c r="B6" s="7"/>
      <c r="C6" s="29"/>
    </row>
    <row r="7" spans="1:3" x14ac:dyDescent="0.3">
      <c r="A7" s="26" t="s">
        <v>82</v>
      </c>
      <c r="B7" s="7"/>
      <c r="C7" s="29"/>
    </row>
    <row r="8" spans="1:3" x14ac:dyDescent="0.3">
      <c r="A8" s="26" t="s">
        <v>83</v>
      </c>
      <c r="B8" s="7"/>
      <c r="C8" s="29"/>
    </row>
    <row r="9" spans="1:3" x14ac:dyDescent="0.3">
      <c r="A9" s="26" t="s">
        <v>84</v>
      </c>
      <c r="B9" s="7"/>
      <c r="C9" s="29"/>
    </row>
    <row r="10" spans="1:3" x14ac:dyDescent="0.3">
      <c r="A10" s="26" t="s">
        <v>85</v>
      </c>
      <c r="B10" s="7"/>
      <c r="C10" s="29"/>
    </row>
    <row r="11" spans="1:3" ht="16.2" thickBot="1" x14ac:dyDescent="0.35">
      <c r="A11" s="27" t="s">
        <v>86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118</v>
      </c>
    </row>
    <row r="2" spans="1:4" s="6" customFormat="1" x14ac:dyDescent="0.3">
      <c r="A2" s="4" t="s">
        <v>114</v>
      </c>
      <c r="B2" s="54" t="s">
        <v>70</v>
      </c>
      <c r="C2" s="5" t="s">
        <v>216</v>
      </c>
      <c r="D2" s="25" t="s">
        <v>217</v>
      </c>
    </row>
    <row r="3" spans="1:4" x14ac:dyDescent="0.3">
      <c r="A3" s="26" t="s">
        <v>78</v>
      </c>
      <c r="B3" s="84"/>
      <c r="C3" s="7"/>
      <c r="D3" s="29"/>
    </row>
    <row r="4" spans="1:4" x14ac:dyDescent="0.3">
      <c r="A4" s="26" t="s">
        <v>79</v>
      </c>
      <c r="B4" s="84"/>
      <c r="C4" s="7"/>
      <c r="D4" s="29"/>
    </row>
    <row r="5" spans="1:4" x14ac:dyDescent="0.3">
      <c r="A5" s="26" t="s">
        <v>80</v>
      </c>
      <c r="B5" s="84"/>
      <c r="C5" s="7"/>
      <c r="D5" s="29"/>
    </row>
    <row r="6" spans="1:4" x14ac:dyDescent="0.3">
      <c r="A6" s="26" t="s">
        <v>81</v>
      </c>
      <c r="B6" s="84"/>
      <c r="C6" s="7"/>
      <c r="D6" s="29"/>
    </row>
    <row r="7" spans="1:4" x14ac:dyDescent="0.3">
      <c r="A7" s="26" t="s">
        <v>82</v>
      </c>
      <c r="B7" s="84"/>
      <c r="C7" s="7"/>
      <c r="D7" s="29"/>
    </row>
    <row r="8" spans="1:4" x14ac:dyDescent="0.3">
      <c r="A8" s="26" t="s">
        <v>83</v>
      </c>
      <c r="B8" s="84"/>
      <c r="C8" s="7"/>
      <c r="D8" s="29"/>
    </row>
    <row r="9" spans="1:4" x14ac:dyDescent="0.3">
      <c r="A9" s="26" t="s">
        <v>84</v>
      </c>
      <c r="B9" s="84"/>
      <c r="C9" s="7"/>
      <c r="D9" s="29"/>
    </row>
    <row r="10" spans="1:4" x14ac:dyDescent="0.3">
      <c r="A10" s="26" t="s">
        <v>85</v>
      </c>
      <c r="B10" s="84"/>
      <c r="C10" s="7"/>
      <c r="D10" s="29"/>
    </row>
    <row r="11" spans="1:4" ht="16.2" thickBot="1" x14ac:dyDescent="0.35">
      <c r="A11" s="27" t="s">
        <v>86</v>
      </c>
      <c r="B11" s="85"/>
      <c r="C11" s="8"/>
      <c r="D11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221</v>
      </c>
    </row>
    <row r="2" spans="1:4" x14ac:dyDescent="0.3">
      <c r="A2" s="4" t="s">
        <v>114</v>
      </c>
      <c r="B2" s="54" t="s">
        <v>218</v>
      </c>
      <c r="C2" s="5" t="s">
        <v>219</v>
      </c>
      <c r="D2" s="25" t="s">
        <v>220</v>
      </c>
    </row>
    <row r="3" spans="1:4" x14ac:dyDescent="0.3">
      <c r="A3" s="26" t="s">
        <v>78</v>
      </c>
      <c r="B3" s="86"/>
      <c r="C3" s="7"/>
      <c r="D3" s="29"/>
    </row>
    <row r="4" spans="1:4" x14ac:dyDescent="0.3">
      <c r="A4" s="26" t="s">
        <v>79</v>
      </c>
      <c r="B4" s="86"/>
      <c r="C4" s="7"/>
      <c r="D4" s="29"/>
    </row>
    <row r="5" spans="1:4" x14ac:dyDescent="0.3">
      <c r="A5" s="26" t="s">
        <v>80</v>
      </c>
      <c r="B5" s="86"/>
      <c r="C5" s="7"/>
      <c r="D5" s="29"/>
    </row>
    <row r="6" spans="1:4" x14ac:dyDescent="0.3">
      <c r="A6" s="26" t="s">
        <v>81</v>
      </c>
      <c r="B6" s="86"/>
      <c r="C6" s="7"/>
      <c r="D6" s="29"/>
    </row>
    <row r="7" spans="1:4" x14ac:dyDescent="0.3">
      <c r="A7" s="26" t="s">
        <v>82</v>
      </c>
      <c r="B7" s="86"/>
      <c r="C7" s="7"/>
      <c r="D7" s="29"/>
    </row>
    <row r="8" spans="1:4" x14ac:dyDescent="0.3">
      <c r="A8" s="26" t="s">
        <v>83</v>
      </c>
      <c r="B8" s="86"/>
      <c r="C8" s="7"/>
      <c r="D8" s="29"/>
    </row>
    <row r="9" spans="1:4" x14ac:dyDescent="0.3">
      <c r="A9" s="26" t="s">
        <v>84</v>
      </c>
      <c r="B9" s="86"/>
      <c r="C9" s="7"/>
      <c r="D9" s="29"/>
    </row>
    <row r="10" spans="1:4" x14ac:dyDescent="0.3">
      <c r="A10" s="26" t="s">
        <v>85</v>
      </c>
      <c r="B10" s="86"/>
      <c r="C10" s="7"/>
      <c r="D10" s="29"/>
    </row>
    <row r="11" spans="1:4" ht="16.2" thickBot="1" x14ac:dyDescent="0.35">
      <c r="A11" s="27" t="s">
        <v>86</v>
      </c>
      <c r="B11" s="87"/>
      <c r="C11" s="8"/>
      <c r="D11" s="9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119</v>
      </c>
    </row>
    <row r="2" spans="1:10" s="6" customFormat="1" x14ac:dyDescent="0.3">
      <c r="A2" s="4" t="s">
        <v>122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25" t="s">
        <v>86</v>
      </c>
    </row>
    <row r="3" spans="1:10" x14ac:dyDescent="0.3">
      <c r="A3" s="26" t="s">
        <v>70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216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217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222</v>
      </c>
    </row>
    <row r="2" spans="1:4" x14ac:dyDescent="0.3">
      <c r="A2" s="4" t="s">
        <v>122</v>
      </c>
      <c r="B2" s="5" t="s">
        <v>218</v>
      </c>
      <c r="C2" s="5" t="s">
        <v>219</v>
      </c>
      <c r="D2" s="25" t="s">
        <v>220</v>
      </c>
    </row>
    <row r="3" spans="1:4" x14ac:dyDescent="0.3">
      <c r="A3" s="26" t="s">
        <v>70</v>
      </c>
      <c r="B3" s="30"/>
      <c r="C3" s="30"/>
      <c r="D3" s="104"/>
    </row>
    <row r="4" spans="1:4" x14ac:dyDescent="0.3">
      <c r="A4" s="26" t="s">
        <v>216</v>
      </c>
      <c r="B4" s="7">
        <v>1</v>
      </c>
      <c r="C4" s="7">
        <v>1</v>
      </c>
      <c r="D4" s="104"/>
    </row>
    <row r="5" spans="1:4" ht="16.2" thickBot="1" x14ac:dyDescent="0.35">
      <c r="A5" s="27" t="s">
        <v>217</v>
      </c>
      <c r="B5" s="105"/>
      <c r="C5" s="105"/>
      <c r="D5" s="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258</v>
      </c>
    </row>
    <row r="2" spans="1:2" s="6" customFormat="1" x14ac:dyDescent="0.3">
      <c r="A2" s="4" t="s">
        <v>259</v>
      </c>
      <c r="B2" s="25" t="s">
        <v>63</v>
      </c>
    </row>
    <row r="3" spans="1:2" x14ac:dyDescent="0.3">
      <c r="A3" s="26" t="s">
        <v>67</v>
      </c>
      <c r="B3" s="29">
        <v>1</v>
      </c>
    </row>
    <row r="4" spans="1:2" ht="16.2" thickBot="1" x14ac:dyDescent="0.35">
      <c r="A4" s="27" t="s">
        <v>68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229</v>
      </c>
    </row>
    <row r="2" spans="1:2" s="6" customFormat="1" x14ac:dyDescent="0.3">
      <c r="A2" s="4" t="s">
        <v>120</v>
      </c>
      <c r="B2" s="25" t="s">
        <v>63</v>
      </c>
    </row>
    <row r="3" spans="1:2" x14ac:dyDescent="0.3">
      <c r="A3" s="26" t="s">
        <v>72</v>
      </c>
      <c r="B3" s="29"/>
    </row>
    <row r="4" spans="1:2" ht="16.2" thickBot="1" x14ac:dyDescent="0.35">
      <c r="A4" s="27" t="s">
        <v>73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223</v>
      </c>
    </row>
    <row r="2" spans="1:4" x14ac:dyDescent="0.3">
      <c r="A2" s="4" t="s">
        <v>120</v>
      </c>
      <c r="B2" s="5" t="s">
        <v>70</v>
      </c>
      <c r="C2" s="5" t="s">
        <v>216</v>
      </c>
      <c r="D2" s="25" t="s">
        <v>217</v>
      </c>
    </row>
    <row r="3" spans="1:4" x14ac:dyDescent="0.3">
      <c r="A3" s="26" t="s">
        <v>72</v>
      </c>
      <c r="B3" s="7"/>
      <c r="C3" s="7">
        <v>1</v>
      </c>
      <c r="D3" s="29">
        <v>2</v>
      </c>
    </row>
    <row r="4" spans="1:4" ht="16.2" thickBot="1" x14ac:dyDescent="0.35">
      <c r="A4" s="27" t="s">
        <v>73</v>
      </c>
      <c r="B4" s="8">
        <v>1</v>
      </c>
      <c r="C4" s="105"/>
      <c r="D4" s="10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121</v>
      </c>
    </row>
    <row r="2" spans="1:2" x14ac:dyDescent="0.3">
      <c r="A2" s="4" t="s">
        <v>122</v>
      </c>
      <c r="B2" s="25" t="s">
        <v>63</v>
      </c>
    </row>
    <row r="3" spans="1:2" ht="16.2" thickBot="1" x14ac:dyDescent="0.35">
      <c r="A3" s="27" t="s">
        <v>70</v>
      </c>
      <c r="B3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48</v>
      </c>
    </row>
    <row r="2" spans="1:15" x14ac:dyDescent="0.3">
      <c r="A2" s="2" t="s">
        <v>49</v>
      </c>
    </row>
    <row r="3" spans="1:15" x14ac:dyDescent="0.3">
      <c r="A3" s="2" t="s">
        <v>50</v>
      </c>
    </row>
    <row r="4" spans="1:15" x14ac:dyDescent="0.3">
      <c r="A4" s="2" t="s">
        <v>51</v>
      </c>
      <c r="D4" s="10"/>
    </row>
    <row r="5" spans="1:15" x14ac:dyDescent="0.3">
      <c r="A5" s="2" t="s">
        <v>52</v>
      </c>
      <c r="M5" s="11"/>
      <c r="N5" s="11"/>
      <c r="O5" s="11"/>
    </row>
    <row r="6" spans="1:15" x14ac:dyDescent="0.3">
      <c r="A6" s="2" t="s">
        <v>53</v>
      </c>
    </row>
    <row r="7" spans="1:15" x14ac:dyDescent="0.3">
      <c r="A7" s="2" t="s">
        <v>54</v>
      </c>
    </row>
    <row r="8" spans="1:15" x14ac:dyDescent="0.3">
      <c r="A8" s="2" t="s">
        <v>55</v>
      </c>
    </row>
    <row r="9" spans="1:15" x14ac:dyDescent="0.3">
      <c r="A9" s="2" t="s">
        <v>56</v>
      </c>
    </row>
    <row r="10" spans="1:15" x14ac:dyDescent="0.3">
      <c r="A10" s="2" t="s">
        <v>57</v>
      </c>
    </row>
    <row r="11" spans="1:15" x14ac:dyDescent="0.3">
      <c r="A11" s="2" t="s">
        <v>58</v>
      </c>
    </row>
    <row r="12" spans="1:15" x14ac:dyDescent="0.3">
      <c r="A12" s="2" t="s">
        <v>59</v>
      </c>
    </row>
    <row r="13" spans="1:15" x14ac:dyDescent="0.3">
      <c r="A13" s="2" t="s">
        <v>60</v>
      </c>
    </row>
    <row r="14" spans="1:15" x14ac:dyDescent="0.3">
      <c r="A14" s="2" t="s">
        <v>61</v>
      </c>
    </row>
    <row r="15" spans="1:15" x14ac:dyDescent="0.3">
      <c r="A15" s="2" t="s">
        <v>62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230</v>
      </c>
    </row>
    <row r="2" spans="1:10" s="6" customFormat="1" x14ac:dyDescent="0.3">
      <c r="A2" s="4" t="s">
        <v>120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25" t="s">
        <v>86</v>
      </c>
    </row>
    <row r="3" spans="1:10" x14ac:dyDescent="0.3">
      <c r="A3" s="26" t="s">
        <v>72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73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224</v>
      </c>
    </row>
    <row r="2" spans="1:4" x14ac:dyDescent="0.3">
      <c r="A2" s="4" t="s">
        <v>120</v>
      </c>
      <c r="B2" s="54" t="s">
        <v>218</v>
      </c>
      <c r="C2" s="5" t="s">
        <v>219</v>
      </c>
      <c r="D2" s="25" t="s">
        <v>220</v>
      </c>
    </row>
    <row r="3" spans="1:4" x14ac:dyDescent="0.3">
      <c r="A3" s="26" t="s">
        <v>72</v>
      </c>
      <c r="B3" s="84">
        <v>1</v>
      </c>
      <c r="C3" s="7">
        <v>1</v>
      </c>
      <c r="D3" s="29">
        <v>2</v>
      </c>
    </row>
    <row r="4" spans="1:4" ht="16.2" thickBot="1" x14ac:dyDescent="0.35">
      <c r="A4" s="27" t="s">
        <v>73</v>
      </c>
      <c r="B4" s="85"/>
      <c r="C4" s="8"/>
      <c r="D4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123</v>
      </c>
    </row>
    <row r="2" spans="1:2" s="6" customFormat="1" x14ac:dyDescent="0.3">
      <c r="A2" s="4" t="s">
        <v>109</v>
      </c>
      <c r="B2" s="25" t="s">
        <v>63</v>
      </c>
    </row>
    <row r="3" spans="1:2" s="6" customFormat="1" x14ac:dyDescent="0.3">
      <c r="A3" s="26" t="s">
        <v>44</v>
      </c>
      <c r="B3" s="29"/>
    </row>
    <row r="4" spans="1:2" x14ac:dyDescent="0.3">
      <c r="A4" s="26" t="s">
        <v>45</v>
      </c>
      <c r="B4" s="29"/>
    </row>
    <row r="5" spans="1:2" x14ac:dyDescent="0.3">
      <c r="A5" s="26" t="s">
        <v>46</v>
      </c>
      <c r="B5" s="29"/>
    </row>
    <row r="6" spans="1:2" ht="16.2" thickBot="1" x14ac:dyDescent="0.35">
      <c r="A6" s="27" t="s">
        <v>47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260</v>
      </c>
    </row>
    <row r="2" spans="1:2" s="6" customFormat="1" x14ac:dyDescent="0.3">
      <c r="A2" s="4" t="s">
        <v>259</v>
      </c>
      <c r="B2" s="25" t="s">
        <v>63</v>
      </c>
    </row>
    <row r="3" spans="1:2" x14ac:dyDescent="0.3">
      <c r="A3" s="26" t="s">
        <v>67</v>
      </c>
      <c r="B3" s="29">
        <v>1</v>
      </c>
    </row>
    <row r="4" spans="1:2" ht="16.2" thickBot="1" x14ac:dyDescent="0.35">
      <c r="A4" s="27" t="s">
        <v>68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124</v>
      </c>
    </row>
    <row r="2" spans="1:3" s="6" customFormat="1" x14ac:dyDescent="0.3">
      <c r="A2" s="4" t="s">
        <v>109</v>
      </c>
      <c r="B2" s="5" t="s">
        <v>65</v>
      </c>
      <c r="C2" s="25" t="s">
        <v>66</v>
      </c>
    </row>
    <row r="3" spans="1:3" s="6" customFormat="1" x14ac:dyDescent="0.3">
      <c r="A3" s="26" t="s">
        <v>44</v>
      </c>
      <c r="B3" s="7">
        <v>1</v>
      </c>
      <c r="C3" s="29">
        <v>1</v>
      </c>
    </row>
    <row r="4" spans="1:3" s="6" customFormat="1" x14ac:dyDescent="0.3">
      <c r="A4" s="26" t="s">
        <v>45</v>
      </c>
      <c r="B4" s="7">
        <v>1</v>
      </c>
      <c r="C4" s="29">
        <v>1</v>
      </c>
    </row>
    <row r="5" spans="1:3" s="6" customFormat="1" x14ac:dyDescent="0.3">
      <c r="A5" s="26" t="s">
        <v>46</v>
      </c>
      <c r="B5" s="7">
        <v>1</v>
      </c>
      <c r="C5" s="29">
        <v>1</v>
      </c>
    </row>
    <row r="6" spans="1:3" ht="16.2" thickBot="1" x14ac:dyDescent="0.35">
      <c r="A6" s="27" t="s">
        <v>47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125</v>
      </c>
    </row>
    <row r="2" spans="1:3" s="6" customFormat="1" x14ac:dyDescent="0.3">
      <c r="A2" s="4" t="s">
        <v>111</v>
      </c>
      <c r="B2" s="5" t="s">
        <v>65</v>
      </c>
      <c r="C2" s="25" t="s">
        <v>66</v>
      </c>
    </row>
    <row r="3" spans="1:3" s="6" customFormat="1" ht="16.2" thickBot="1" x14ac:dyDescent="0.35">
      <c r="A3" s="27" t="s">
        <v>63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126</v>
      </c>
    </row>
    <row r="2" spans="1:2" s="6" customFormat="1" x14ac:dyDescent="0.3">
      <c r="A2" s="4" t="s">
        <v>111</v>
      </c>
      <c r="B2" s="25" t="s">
        <v>63</v>
      </c>
    </row>
    <row r="3" spans="1:2" s="6" customFormat="1" ht="16.2" thickBot="1" x14ac:dyDescent="0.35">
      <c r="A3" s="27" t="s">
        <v>63</v>
      </c>
      <c r="B3" s="3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127</v>
      </c>
    </row>
    <row r="2" spans="1:4" s="6" customFormat="1" x14ac:dyDescent="0.3">
      <c r="A2" s="4" t="s">
        <v>111</v>
      </c>
      <c r="B2" s="54" t="s">
        <v>70</v>
      </c>
      <c r="C2" s="5" t="s">
        <v>216</v>
      </c>
      <c r="D2" s="25" t="s">
        <v>217</v>
      </c>
    </row>
    <row r="3" spans="1:4" s="6" customFormat="1" ht="16.2" thickBot="1" x14ac:dyDescent="0.35">
      <c r="A3" s="27" t="s">
        <v>63</v>
      </c>
      <c r="B3" s="85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225</v>
      </c>
    </row>
    <row r="2" spans="1:4" x14ac:dyDescent="0.3">
      <c r="A2" s="4" t="s">
        <v>120</v>
      </c>
      <c r="B2" s="54" t="s">
        <v>70</v>
      </c>
      <c r="C2" s="5" t="s">
        <v>216</v>
      </c>
      <c r="D2" s="25" t="s">
        <v>217</v>
      </c>
    </row>
    <row r="3" spans="1:4" x14ac:dyDescent="0.3">
      <c r="A3" s="26" t="s">
        <v>72</v>
      </c>
      <c r="B3" s="84"/>
      <c r="C3" s="7">
        <v>1</v>
      </c>
      <c r="D3" s="29">
        <v>2</v>
      </c>
    </row>
    <row r="4" spans="1:4" ht="16.2" thickBot="1" x14ac:dyDescent="0.35">
      <c r="A4" s="27" t="s">
        <v>73</v>
      </c>
      <c r="B4" s="85">
        <v>1</v>
      </c>
      <c r="C4" s="8"/>
      <c r="D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64</v>
      </c>
    </row>
    <row r="2" spans="1:1" x14ac:dyDescent="0.3">
      <c r="A2" s="2" t="s">
        <v>65</v>
      </c>
    </row>
    <row r="3" spans="1:1" x14ac:dyDescent="0.3">
      <c r="A3" s="2" t="s">
        <v>66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226</v>
      </c>
    </row>
    <row r="2" spans="1:4" x14ac:dyDescent="0.3">
      <c r="A2" s="4" t="s">
        <v>120</v>
      </c>
      <c r="B2" s="54" t="s">
        <v>218</v>
      </c>
      <c r="C2" s="5" t="s">
        <v>219</v>
      </c>
      <c r="D2" s="25" t="s">
        <v>220</v>
      </c>
    </row>
    <row r="3" spans="1:4" x14ac:dyDescent="0.3">
      <c r="A3" s="26" t="s">
        <v>72</v>
      </c>
      <c r="B3" s="84">
        <v>1</v>
      </c>
      <c r="C3" s="7">
        <v>1</v>
      </c>
      <c r="D3" s="29">
        <v>2</v>
      </c>
    </row>
    <row r="4" spans="1:4" ht="16.2" thickBot="1" x14ac:dyDescent="0.35">
      <c r="A4" s="27" t="s">
        <v>73</v>
      </c>
      <c r="B4" s="85"/>
      <c r="C4" s="8"/>
      <c r="D4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227</v>
      </c>
    </row>
    <row r="2" spans="1:4" x14ac:dyDescent="0.3">
      <c r="A2" s="4" t="s">
        <v>122</v>
      </c>
      <c r="B2" s="5" t="s">
        <v>218</v>
      </c>
      <c r="C2" s="5" t="s">
        <v>219</v>
      </c>
      <c r="D2" s="25" t="s">
        <v>220</v>
      </c>
    </row>
    <row r="3" spans="1:4" x14ac:dyDescent="0.3">
      <c r="A3" s="26" t="s">
        <v>70</v>
      </c>
      <c r="B3" s="30"/>
      <c r="C3" s="30"/>
      <c r="D3" s="32"/>
    </row>
    <row r="4" spans="1:4" x14ac:dyDescent="0.3">
      <c r="A4" s="26" t="s">
        <v>216</v>
      </c>
      <c r="B4" s="7">
        <v>1</v>
      </c>
      <c r="C4" s="7">
        <v>1</v>
      </c>
      <c r="D4" s="29"/>
    </row>
    <row r="5" spans="1:4" ht="16.2" thickBot="1" x14ac:dyDescent="0.35">
      <c r="A5" s="27" t="s">
        <v>217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232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209</v>
      </c>
    </row>
    <row r="2" spans="1:4" x14ac:dyDescent="0.3">
      <c r="A2" s="88" t="s">
        <v>180</v>
      </c>
      <c r="B2" s="79" t="s">
        <v>43</v>
      </c>
    </row>
    <row r="3" spans="1:4" x14ac:dyDescent="0.3">
      <c r="A3" s="80" t="s">
        <v>44</v>
      </c>
      <c r="B3" s="81">
        <v>650</v>
      </c>
    </row>
    <row r="4" spans="1:4" x14ac:dyDescent="0.3">
      <c r="A4" s="80" t="s">
        <v>45</v>
      </c>
      <c r="B4" s="81">
        <v>550</v>
      </c>
      <c r="D4" s="10"/>
    </row>
    <row r="5" spans="1:4" x14ac:dyDescent="0.3">
      <c r="A5" s="80" t="s">
        <v>46</v>
      </c>
      <c r="B5" s="81">
        <v>550</v>
      </c>
    </row>
    <row r="6" spans="1:4" x14ac:dyDescent="0.3">
      <c r="A6" s="98" t="s">
        <v>47</v>
      </c>
      <c r="B6" s="99">
        <v>450</v>
      </c>
    </row>
    <row r="7" spans="1:4" x14ac:dyDescent="0.3">
      <c r="A7" s="100" t="s">
        <v>63</v>
      </c>
      <c r="B7" s="101">
        <v>650</v>
      </c>
    </row>
    <row r="8" spans="1:4" x14ac:dyDescent="0.3">
      <c r="A8" s="80" t="s">
        <v>65</v>
      </c>
      <c r="B8" s="81">
        <v>550</v>
      </c>
    </row>
    <row r="9" spans="1:4" x14ac:dyDescent="0.3">
      <c r="A9" s="98" t="s">
        <v>66</v>
      </c>
      <c r="B9" s="99">
        <v>600</v>
      </c>
    </row>
    <row r="10" spans="1:4" x14ac:dyDescent="0.3">
      <c r="A10" s="80" t="s">
        <v>67</v>
      </c>
      <c r="B10" s="81">
        <v>650</v>
      </c>
    </row>
    <row r="11" spans="1:4" x14ac:dyDescent="0.3">
      <c r="A11" s="98" t="s">
        <v>68</v>
      </c>
      <c r="B11" s="99">
        <v>650</v>
      </c>
    </row>
    <row r="12" spans="1:4" x14ac:dyDescent="0.3">
      <c r="A12" s="80" t="s">
        <v>70</v>
      </c>
      <c r="B12" s="81">
        <v>350</v>
      </c>
    </row>
    <row r="13" spans="1:4" x14ac:dyDescent="0.3">
      <c r="A13" s="80" t="s">
        <v>216</v>
      </c>
      <c r="B13" s="81">
        <v>500</v>
      </c>
    </row>
    <row r="14" spans="1:4" x14ac:dyDescent="0.3">
      <c r="A14" s="98" t="s">
        <v>217</v>
      </c>
      <c r="B14" s="99">
        <v>500</v>
      </c>
    </row>
    <row r="15" spans="1:4" x14ac:dyDescent="0.3">
      <c r="A15" s="80" t="s">
        <v>72</v>
      </c>
      <c r="B15" s="81">
        <v>500</v>
      </c>
    </row>
    <row r="16" spans="1:4" x14ac:dyDescent="0.3">
      <c r="A16" s="98" t="s">
        <v>73</v>
      </c>
      <c r="B16" s="99">
        <v>250</v>
      </c>
    </row>
    <row r="17" spans="1:2" x14ac:dyDescent="0.3">
      <c r="A17" s="80" t="s">
        <v>218</v>
      </c>
      <c r="B17" s="81">
        <v>500</v>
      </c>
    </row>
    <row r="18" spans="1:2" x14ac:dyDescent="0.3">
      <c r="A18" s="80" t="s">
        <v>219</v>
      </c>
      <c r="B18" s="81">
        <v>500</v>
      </c>
    </row>
    <row r="19" spans="1:2" x14ac:dyDescent="0.3">
      <c r="A19" s="98" t="s">
        <v>220</v>
      </c>
      <c r="B19" s="99">
        <v>500</v>
      </c>
    </row>
    <row r="20" spans="1:2" x14ac:dyDescent="0.3">
      <c r="A20" s="80" t="s">
        <v>78</v>
      </c>
      <c r="B20" s="81">
        <v>600</v>
      </c>
    </row>
    <row r="21" spans="1:2" x14ac:dyDescent="0.3">
      <c r="A21" s="80" t="s">
        <v>79</v>
      </c>
      <c r="B21" s="81">
        <v>600</v>
      </c>
    </row>
    <row r="22" spans="1:2" x14ac:dyDescent="0.3">
      <c r="A22" s="80" t="s">
        <v>80</v>
      </c>
      <c r="B22" s="81">
        <v>600</v>
      </c>
    </row>
    <row r="23" spans="1:2" x14ac:dyDescent="0.3">
      <c r="A23" s="80" t="s">
        <v>81</v>
      </c>
      <c r="B23" s="81">
        <v>600</v>
      </c>
    </row>
    <row r="24" spans="1:2" x14ac:dyDescent="0.3">
      <c r="A24" s="80" t="s">
        <v>82</v>
      </c>
      <c r="B24" s="81">
        <v>550</v>
      </c>
    </row>
    <row r="25" spans="1:2" x14ac:dyDescent="0.3">
      <c r="A25" s="80" t="s">
        <v>83</v>
      </c>
      <c r="B25" s="81">
        <v>550</v>
      </c>
    </row>
    <row r="26" spans="1:2" x14ac:dyDescent="0.3">
      <c r="A26" s="80" t="s">
        <v>84</v>
      </c>
      <c r="B26" s="81">
        <v>550</v>
      </c>
    </row>
    <row r="27" spans="1:2" x14ac:dyDescent="0.3">
      <c r="A27" s="80" t="s">
        <v>85</v>
      </c>
      <c r="B27" s="81">
        <v>550</v>
      </c>
    </row>
    <row r="28" spans="1:2" ht="16.2" thickBot="1" x14ac:dyDescent="0.35">
      <c r="A28" s="89" t="s">
        <v>86</v>
      </c>
      <c r="B28" s="90">
        <v>500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e">
        <f>_xlfn.CONCAT( "Table of Completions Water Demand for Completions Sites over ",VLOOKUP("decision period",#REF!, 2, FALSE),"s [",VLOOKUP("volume",#REF!, 2, FALSE),"/", VLOOKUP("time",#REF!, 2, FALSE),"]")</f>
        <v>#REF!</v>
      </c>
    </row>
    <row r="2" spans="1:55" s="6" customFormat="1" x14ac:dyDescent="0.3">
      <c r="A2" s="4" t="s">
        <v>111</v>
      </c>
      <c r="B2" s="5" t="s">
        <v>128</v>
      </c>
      <c r="C2" s="5" t="s">
        <v>129</v>
      </c>
      <c r="D2" s="5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5" t="s">
        <v>135</v>
      </c>
      <c r="J2" s="5" t="s">
        <v>136</v>
      </c>
      <c r="K2" s="5" t="s">
        <v>137</v>
      </c>
      <c r="L2" s="5" t="s">
        <v>138</v>
      </c>
      <c r="M2" s="5" t="s">
        <v>139</v>
      </c>
      <c r="N2" s="5" t="s">
        <v>140</v>
      </c>
      <c r="O2" s="5" t="s">
        <v>141</v>
      </c>
      <c r="P2" s="5" t="s">
        <v>142</v>
      </c>
      <c r="Q2" s="5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5" t="s">
        <v>148</v>
      </c>
      <c r="W2" s="5" t="s">
        <v>149</v>
      </c>
      <c r="X2" s="5" t="s">
        <v>150</v>
      </c>
      <c r="Y2" s="5" t="s">
        <v>151</v>
      </c>
      <c r="Z2" s="5" t="s">
        <v>152</v>
      </c>
      <c r="AA2" s="5" t="s">
        <v>153</v>
      </c>
      <c r="AB2" s="5" t="s">
        <v>154</v>
      </c>
      <c r="AC2" s="5" t="s">
        <v>155</v>
      </c>
      <c r="AD2" s="5" t="s">
        <v>156</v>
      </c>
      <c r="AE2" s="5" t="s">
        <v>157</v>
      </c>
      <c r="AF2" s="5" t="s">
        <v>158</v>
      </c>
      <c r="AG2" s="5" t="s">
        <v>159</v>
      </c>
      <c r="AH2" s="5" t="s">
        <v>160</v>
      </c>
      <c r="AI2" s="5" t="s">
        <v>161</v>
      </c>
      <c r="AJ2" s="5" t="s">
        <v>162</v>
      </c>
      <c r="AK2" s="5" t="s">
        <v>163</v>
      </c>
      <c r="AL2" s="5" t="s">
        <v>164</v>
      </c>
      <c r="AM2" s="5" t="s">
        <v>165</v>
      </c>
      <c r="AN2" s="5" t="s">
        <v>166</v>
      </c>
      <c r="AO2" s="5" t="s">
        <v>167</v>
      </c>
      <c r="AP2" s="5" t="s">
        <v>168</v>
      </c>
      <c r="AQ2" s="5" t="s">
        <v>169</v>
      </c>
      <c r="AR2" s="5" t="s">
        <v>170</v>
      </c>
      <c r="AS2" s="5" t="s">
        <v>171</v>
      </c>
      <c r="AT2" s="5" t="s">
        <v>172</v>
      </c>
      <c r="AU2" s="5" t="s">
        <v>173</v>
      </c>
      <c r="AV2" s="5" t="s">
        <v>174</v>
      </c>
      <c r="AW2" s="5" t="s">
        <v>175</v>
      </c>
      <c r="AX2" s="5" t="s">
        <v>176</v>
      </c>
      <c r="AY2" s="5" t="s">
        <v>177</v>
      </c>
      <c r="AZ2" s="5" t="s">
        <v>178</v>
      </c>
      <c r="BA2" s="25" t="s">
        <v>179</v>
      </c>
    </row>
    <row r="3" spans="1:55" s="6" customFormat="1" ht="16.2" thickBot="1" x14ac:dyDescent="0.35">
      <c r="A3" s="27" t="s">
        <v>63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56"/>
      <c r="BC3" s="56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e">
        <f>_xlfn.CONCAT( "Table of Production Rate Forecasts by Pads [",VLOOKUP("volume",#REF!, 2, FALSE),"/", VLOOKUP("time",#REF!, 2, FALSE),"]")</f>
        <v>#REF!</v>
      </c>
    </row>
    <row r="2" spans="1:53" s="6" customFormat="1" x14ac:dyDescent="0.3">
      <c r="A2" s="4" t="s">
        <v>109</v>
      </c>
      <c r="B2" s="5" t="s">
        <v>128</v>
      </c>
      <c r="C2" s="5" t="s">
        <v>129</v>
      </c>
      <c r="D2" s="5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5" t="s">
        <v>135</v>
      </c>
      <c r="J2" s="5" t="s">
        <v>136</v>
      </c>
      <c r="K2" s="5" t="s">
        <v>137</v>
      </c>
      <c r="L2" s="5" t="s">
        <v>138</v>
      </c>
      <c r="M2" s="5" t="s">
        <v>139</v>
      </c>
      <c r="N2" s="5" t="s">
        <v>140</v>
      </c>
      <c r="O2" s="5" t="s">
        <v>141</v>
      </c>
      <c r="P2" s="5" t="s">
        <v>142</v>
      </c>
      <c r="Q2" s="5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5" t="s">
        <v>148</v>
      </c>
      <c r="W2" s="5" t="s">
        <v>149</v>
      </c>
      <c r="X2" s="5" t="s">
        <v>150</v>
      </c>
      <c r="Y2" s="5" t="s">
        <v>151</v>
      </c>
      <c r="Z2" s="5" t="s">
        <v>152</v>
      </c>
      <c r="AA2" s="5" t="s">
        <v>153</v>
      </c>
      <c r="AB2" s="5" t="s">
        <v>154</v>
      </c>
      <c r="AC2" s="5" t="s">
        <v>155</v>
      </c>
      <c r="AD2" s="5" t="s">
        <v>156</v>
      </c>
      <c r="AE2" s="5" t="s">
        <v>157</v>
      </c>
      <c r="AF2" s="5" t="s">
        <v>158</v>
      </c>
      <c r="AG2" s="5" t="s">
        <v>159</v>
      </c>
      <c r="AH2" s="5" t="s">
        <v>160</v>
      </c>
      <c r="AI2" s="5" t="s">
        <v>161</v>
      </c>
      <c r="AJ2" s="5" t="s">
        <v>162</v>
      </c>
      <c r="AK2" s="5" t="s">
        <v>163</v>
      </c>
      <c r="AL2" s="5" t="s">
        <v>164</v>
      </c>
      <c r="AM2" s="5" t="s">
        <v>165</v>
      </c>
      <c r="AN2" s="5" t="s">
        <v>166</v>
      </c>
      <c r="AO2" s="5" t="s">
        <v>167</v>
      </c>
      <c r="AP2" s="5" t="s">
        <v>168</v>
      </c>
      <c r="AQ2" s="5" t="s">
        <v>169</v>
      </c>
      <c r="AR2" s="5" t="s">
        <v>170</v>
      </c>
      <c r="AS2" s="5" t="s">
        <v>171</v>
      </c>
      <c r="AT2" s="5" t="s">
        <v>172</v>
      </c>
      <c r="AU2" s="5" t="s">
        <v>173</v>
      </c>
      <c r="AV2" s="5" t="s">
        <v>174</v>
      </c>
      <c r="AW2" s="5" t="s">
        <v>175</v>
      </c>
      <c r="AX2" s="5" t="s">
        <v>176</v>
      </c>
      <c r="AY2" s="5" t="s">
        <v>177</v>
      </c>
      <c r="AZ2" s="5" t="s">
        <v>178</v>
      </c>
      <c r="BA2" s="25" t="s">
        <v>179</v>
      </c>
    </row>
    <row r="3" spans="1:53" s="6" customFormat="1" x14ac:dyDescent="0.3">
      <c r="A3" s="26" t="s">
        <v>44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45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46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47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e">
        <f>_xlfn.CONCAT( "Table of Flowback Rate Forecasts by Pads [",VLOOKUP("volume",#REF!, 2, FALSE),"/", VLOOKUP("time",#REF!, 2, FALSE),"]")</f>
        <v>#REF!</v>
      </c>
    </row>
    <row r="2" spans="1:53" s="6" customFormat="1" x14ac:dyDescent="0.3">
      <c r="A2" s="4" t="s">
        <v>111</v>
      </c>
      <c r="B2" s="5" t="s">
        <v>128</v>
      </c>
      <c r="C2" s="5" t="s">
        <v>129</v>
      </c>
      <c r="D2" s="5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5" t="s">
        <v>135</v>
      </c>
      <c r="J2" s="5" t="s">
        <v>136</v>
      </c>
      <c r="K2" s="5" t="s">
        <v>137</v>
      </c>
      <c r="L2" s="5" t="s">
        <v>138</v>
      </c>
      <c r="M2" s="5" t="s">
        <v>139</v>
      </c>
      <c r="N2" s="5" t="s">
        <v>140</v>
      </c>
      <c r="O2" s="5" t="s">
        <v>141</v>
      </c>
      <c r="P2" s="5" t="s">
        <v>142</v>
      </c>
      <c r="Q2" s="5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5" t="s">
        <v>148</v>
      </c>
      <c r="W2" s="5" t="s">
        <v>149</v>
      </c>
      <c r="X2" s="5" t="s">
        <v>150</v>
      </c>
      <c r="Y2" s="5" t="s">
        <v>151</v>
      </c>
      <c r="Z2" s="5" t="s">
        <v>152</v>
      </c>
      <c r="AA2" s="5" t="s">
        <v>153</v>
      </c>
      <c r="AB2" s="5" t="s">
        <v>154</v>
      </c>
      <c r="AC2" s="5" t="s">
        <v>155</v>
      </c>
      <c r="AD2" s="5" t="s">
        <v>156</v>
      </c>
      <c r="AE2" s="5" t="s">
        <v>157</v>
      </c>
      <c r="AF2" s="5" t="s">
        <v>158</v>
      </c>
      <c r="AG2" s="5" t="s">
        <v>159</v>
      </c>
      <c r="AH2" s="5" t="s">
        <v>160</v>
      </c>
      <c r="AI2" s="5" t="s">
        <v>161</v>
      </c>
      <c r="AJ2" s="5" t="s">
        <v>162</v>
      </c>
      <c r="AK2" s="5" t="s">
        <v>163</v>
      </c>
      <c r="AL2" s="5" t="s">
        <v>164</v>
      </c>
      <c r="AM2" s="5" t="s">
        <v>165</v>
      </c>
      <c r="AN2" s="5" t="s">
        <v>166</v>
      </c>
      <c r="AO2" s="5" t="s">
        <v>167</v>
      </c>
      <c r="AP2" s="5" t="s">
        <v>168</v>
      </c>
      <c r="AQ2" s="5" t="s">
        <v>169</v>
      </c>
      <c r="AR2" s="5" t="s">
        <v>170</v>
      </c>
      <c r="AS2" s="5" t="s">
        <v>171</v>
      </c>
      <c r="AT2" s="5" t="s">
        <v>172</v>
      </c>
      <c r="AU2" s="5" t="s">
        <v>173</v>
      </c>
      <c r="AV2" s="5" t="s">
        <v>174</v>
      </c>
      <c r="AW2" s="5" t="s">
        <v>175</v>
      </c>
      <c r="AX2" s="5" t="s">
        <v>176</v>
      </c>
      <c r="AY2" s="5" t="s">
        <v>177</v>
      </c>
      <c r="AZ2" s="5" t="s">
        <v>178</v>
      </c>
      <c r="BA2" s="25" t="s">
        <v>179</v>
      </c>
    </row>
    <row r="3" spans="1:53" ht="16.2" thickBot="1" x14ac:dyDescent="0.35">
      <c r="A3" s="27" t="s">
        <v>63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e">
        <f>_xlfn.CONCAT("Well pressure at production or completions pad [",VLOOKUP("pressure",#REF!, 2, FALSE),"]")</f>
        <v>#REF!</v>
      </c>
      <c r="E1" s="1" t="s">
        <v>210</v>
      </c>
      <c r="H1" s="1" t="s">
        <v>211</v>
      </c>
      <c r="O1" s="1" t="s">
        <v>212</v>
      </c>
      <c r="Q1" s="1">
        <v>0.01</v>
      </c>
    </row>
    <row r="2" spans="1:55" s="6" customFormat="1" x14ac:dyDescent="0.3">
      <c r="A2" s="4" t="s">
        <v>180</v>
      </c>
      <c r="B2" s="5" t="s">
        <v>128</v>
      </c>
      <c r="C2" s="5" t="s">
        <v>129</v>
      </c>
      <c r="D2" s="5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5" t="s">
        <v>135</v>
      </c>
      <c r="J2" s="5" t="s">
        <v>136</v>
      </c>
      <c r="K2" s="5" t="s">
        <v>137</v>
      </c>
      <c r="L2" s="5" t="s">
        <v>138</v>
      </c>
      <c r="M2" s="5" t="s">
        <v>139</v>
      </c>
      <c r="N2" s="5" t="s">
        <v>140</v>
      </c>
      <c r="O2" s="5" t="s">
        <v>141</v>
      </c>
      <c r="P2" s="5" t="s">
        <v>142</v>
      </c>
      <c r="Q2" s="5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5" t="s">
        <v>148</v>
      </c>
      <c r="W2" s="5" t="s">
        <v>149</v>
      </c>
      <c r="X2" s="5" t="s">
        <v>150</v>
      </c>
      <c r="Y2" s="5" t="s">
        <v>151</v>
      </c>
      <c r="Z2" s="5" t="s">
        <v>152</v>
      </c>
      <c r="AA2" s="5" t="s">
        <v>153</v>
      </c>
      <c r="AB2" s="5" t="s">
        <v>154</v>
      </c>
      <c r="AC2" s="5" t="s">
        <v>155</v>
      </c>
      <c r="AD2" s="5" t="s">
        <v>156</v>
      </c>
      <c r="AE2" s="5" t="s">
        <v>157</v>
      </c>
      <c r="AF2" s="5" t="s">
        <v>158</v>
      </c>
      <c r="AG2" s="5" t="s">
        <v>159</v>
      </c>
      <c r="AH2" s="5" t="s">
        <v>160</v>
      </c>
      <c r="AI2" s="5" t="s">
        <v>161</v>
      </c>
      <c r="AJ2" s="5" t="s">
        <v>162</v>
      </c>
      <c r="AK2" s="5" t="s">
        <v>163</v>
      </c>
      <c r="AL2" s="5" t="s">
        <v>164</v>
      </c>
      <c r="AM2" s="5" t="s">
        <v>165</v>
      </c>
      <c r="AN2" s="5" t="s">
        <v>166</v>
      </c>
      <c r="AO2" s="5" t="s">
        <v>167</v>
      </c>
      <c r="AP2" s="5" t="s">
        <v>168</v>
      </c>
      <c r="AQ2" s="5" t="s">
        <v>169</v>
      </c>
      <c r="AR2" s="5" t="s">
        <v>170</v>
      </c>
      <c r="AS2" s="5" t="s">
        <v>171</v>
      </c>
      <c r="AT2" s="5" t="s">
        <v>172</v>
      </c>
      <c r="AU2" s="5" t="s">
        <v>173</v>
      </c>
      <c r="AV2" s="5" t="s">
        <v>174</v>
      </c>
      <c r="AW2" s="5" t="s">
        <v>175</v>
      </c>
      <c r="AX2" s="5" t="s">
        <v>176</v>
      </c>
      <c r="AY2" s="5" t="s">
        <v>177</v>
      </c>
      <c r="AZ2" s="5" t="s">
        <v>178</v>
      </c>
      <c r="BA2" s="25" t="s">
        <v>179</v>
      </c>
      <c r="BC2" s="1"/>
    </row>
    <row r="3" spans="1:55" s="6" customFormat="1" x14ac:dyDescent="0.3">
      <c r="A3" s="26" t="s">
        <v>44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64"/>
      <c r="BC3" s="1"/>
    </row>
    <row r="4" spans="1:55" s="6" customFormat="1" x14ac:dyDescent="0.3">
      <c r="A4" s="26" t="s">
        <v>45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64"/>
      <c r="BC4" s="1"/>
    </row>
    <row r="5" spans="1:55" x14ac:dyDescent="0.3">
      <c r="A5" s="26" t="s">
        <v>46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64"/>
    </row>
    <row r="6" spans="1:55" x14ac:dyDescent="0.3">
      <c r="A6" s="51" t="s">
        <v>47</v>
      </c>
      <c r="B6" s="102">
        <v>20</v>
      </c>
      <c r="C6" s="102">
        <v>19.724654089867183</v>
      </c>
      <c r="D6" s="102">
        <v>19.565347714583421</v>
      </c>
      <c r="E6" s="102">
        <v>19.45309894824571</v>
      </c>
      <c r="F6" s="102">
        <v>19.366475714512596</v>
      </c>
      <c r="G6" s="102">
        <v>19.29598579090657</v>
      </c>
      <c r="H6" s="102">
        <v>19.236587614095988</v>
      </c>
      <c r="I6" s="102">
        <v>19.185282386505289</v>
      </c>
      <c r="J6" s="102">
        <v>19.14014155962774</v>
      </c>
      <c r="K6" s="102">
        <v>19.099851720428717</v>
      </c>
      <c r="L6" s="102">
        <v>19.063478193082773</v>
      </c>
      <c r="M6" s="102">
        <v>19.030332252431219</v>
      </c>
      <c r="N6" s="102">
        <v>18.999891837835946</v>
      </c>
      <c r="O6" s="102">
        <v>18.971751827873344</v>
      </c>
      <c r="P6" s="102">
        <v>18.945591568023726</v>
      </c>
      <c r="Q6" s="102">
        <v>18.92115293451192</v>
      </c>
      <c r="R6" s="102">
        <v>18.898225082424748</v>
      </c>
      <c r="S6" s="102">
        <v>18.876633574737408</v>
      </c>
      <c r="T6" s="102">
        <v>18.856232464552253</v>
      </c>
      <c r="U6" s="102">
        <v>18.836898417660557</v>
      </c>
      <c r="V6" s="102">
        <v>18.818526275591836</v>
      </c>
      <c r="W6" s="102">
        <v>18.8010256554142</v>
      </c>
      <c r="X6" s="102">
        <v>18.784318308654296</v>
      </c>
      <c r="Y6" s="102">
        <v>18.768336044722442</v>
      </c>
      <c r="Z6" s="102">
        <v>18.75301908004031</v>
      </c>
      <c r="AA6" s="102">
        <v>18.738314712310245</v>
      </c>
      <c r="AB6" s="102">
        <v>18.724176246023287</v>
      </c>
      <c r="AC6" s="102">
        <v>18.710562114180359</v>
      </c>
      <c r="AD6" s="102">
        <v>18.697435154762537</v>
      </c>
      <c r="AE6" s="102">
        <v>18.684762010358615</v>
      </c>
      <c r="AF6" s="102">
        <v>18.672512626632653</v>
      </c>
      <c r="AG6" s="102">
        <v>18.660659830736151</v>
      </c>
      <c r="AH6" s="102">
        <v>18.649178974852152</v>
      </c>
      <c r="AI6" s="102">
        <v>18.638047633163993</v>
      </c>
      <c r="AJ6" s="102">
        <v>18.627245342924191</v>
      </c>
      <c r="AK6" s="102">
        <v>18.616753382143422</v>
      </c>
      <c r="AL6" s="102">
        <v>18.606554577858702</v>
      </c>
      <c r="AM6" s="102">
        <v>18.59663314007085</v>
      </c>
      <c r="AN6" s="102">
        <v>18.586974517336788</v>
      </c>
      <c r="AO6" s="102">
        <v>18.577565270716047</v>
      </c>
      <c r="AP6" s="102">
        <v>18.568392963342752</v>
      </c>
      <c r="AQ6" s="102">
        <v>18.559446063356276</v>
      </c>
      <c r="AR6" s="102">
        <v>18.550713858298163</v>
      </c>
      <c r="AS6" s="102">
        <v>18.54218637938818</v>
      </c>
      <c r="AT6" s="102">
        <v>18.533854334343193</v>
      </c>
      <c r="AU6" s="102">
        <v>18.525709047608249</v>
      </c>
      <c r="AV6" s="102">
        <v>18.517742407040306</v>
      </c>
      <c r="AW6" s="102">
        <v>18.509946816226808</v>
      </c>
      <c r="AX6" s="102">
        <v>18.502315151739563</v>
      </c>
      <c r="AY6" s="102">
        <v>18.494840724723719</v>
      </c>
      <c r="AZ6" s="102">
        <v>18.48751724630511</v>
      </c>
      <c r="BA6" s="103">
        <v>18.480338796369434</v>
      </c>
      <c r="BB6" s="64"/>
    </row>
    <row r="7" spans="1:55" ht="16.2" thickBot="1" x14ac:dyDescent="0.35">
      <c r="A7" s="27" t="s">
        <v>63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64"/>
    </row>
    <row r="8" spans="1:55" x14ac:dyDescent="0.3">
      <c r="A8" s="11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</row>
    <row r="9" spans="1:55" x14ac:dyDescent="0.3">
      <c r="A9" s="11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</row>
    <row r="10" spans="1:55" x14ac:dyDescent="0.3">
      <c r="A10" s="11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</row>
    <row r="11" spans="1:55" x14ac:dyDescent="0.3">
      <c r="A11" s="11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</row>
    <row r="12" spans="1:55" x14ac:dyDescent="0.3">
      <c r="A12" s="11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</row>
    <row r="13" spans="1:55" x14ac:dyDescent="0.3">
      <c r="A13" s="11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</row>
    <row r="14" spans="1:55" x14ac:dyDescent="0.3">
      <c r="A14" s="11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</row>
    <row r="15" spans="1:55" x14ac:dyDescent="0.3">
      <c r="A15" s="11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</row>
    <row r="16" spans="1:55" x14ac:dyDescent="0.3">
      <c r="A16" s="11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e">
        <f>_xlfn.CONCAT( "Table of Initial Pipeline Capacity between Sites [",VLOOKUP("volume",#REF!, 2, FALSE),"/", VLOOKUP("time",#REF!, 2, FALSE),"]")</f>
        <v>#REF!</v>
      </c>
    </row>
    <row r="2" spans="1:21" x14ac:dyDescent="0.3">
      <c r="A2" s="4" t="s">
        <v>180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61" t="s">
        <v>86</v>
      </c>
      <c r="K2" s="5" t="s">
        <v>65</v>
      </c>
      <c r="L2" s="61" t="s">
        <v>66</v>
      </c>
      <c r="M2" s="5" t="s">
        <v>72</v>
      </c>
      <c r="N2" s="61" t="s">
        <v>73</v>
      </c>
      <c r="O2" s="54" t="s">
        <v>70</v>
      </c>
      <c r="P2" s="5" t="s">
        <v>216</v>
      </c>
      <c r="Q2" s="61" t="s">
        <v>217</v>
      </c>
      <c r="R2" s="5" t="s">
        <v>218</v>
      </c>
      <c r="S2" s="5" t="s">
        <v>219</v>
      </c>
      <c r="T2" s="61" t="s">
        <v>220</v>
      </c>
      <c r="U2" s="25" t="s">
        <v>63</v>
      </c>
    </row>
    <row r="3" spans="1:21" x14ac:dyDescent="0.3">
      <c r="A3" s="26" t="s">
        <v>44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58">
        <v>0</v>
      </c>
      <c r="K3" s="7">
        <v>0</v>
      </c>
      <c r="L3" s="58">
        <v>0</v>
      </c>
      <c r="M3" s="7">
        <v>0</v>
      </c>
      <c r="N3" s="58">
        <v>0</v>
      </c>
      <c r="O3" s="84">
        <v>0</v>
      </c>
      <c r="P3" s="7"/>
      <c r="Q3" s="58"/>
      <c r="R3" s="7"/>
      <c r="S3" s="7"/>
      <c r="T3" s="58"/>
      <c r="U3" s="29">
        <v>0</v>
      </c>
    </row>
    <row r="4" spans="1:21" x14ac:dyDescent="0.3">
      <c r="A4" s="26" t="s">
        <v>45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58">
        <v>0</v>
      </c>
      <c r="K4" s="7">
        <v>0</v>
      </c>
      <c r="L4" s="58">
        <v>0</v>
      </c>
      <c r="M4" s="7">
        <v>0</v>
      </c>
      <c r="N4" s="58">
        <v>0</v>
      </c>
      <c r="O4" s="84">
        <v>0</v>
      </c>
      <c r="P4" s="7"/>
      <c r="Q4" s="58"/>
      <c r="R4" s="7"/>
      <c r="S4" s="7"/>
      <c r="T4" s="58"/>
      <c r="U4" s="29">
        <v>0</v>
      </c>
    </row>
    <row r="5" spans="1:21" x14ac:dyDescent="0.3">
      <c r="A5" s="26" t="s">
        <v>46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58">
        <v>0</v>
      </c>
      <c r="K5" s="7">
        <v>0</v>
      </c>
      <c r="L5" s="58">
        <v>0</v>
      </c>
      <c r="M5" s="7">
        <v>0</v>
      </c>
      <c r="N5" s="58">
        <v>0</v>
      </c>
      <c r="O5" s="84">
        <v>0</v>
      </c>
      <c r="P5" s="7"/>
      <c r="Q5" s="58"/>
      <c r="R5" s="7"/>
      <c r="S5" s="7"/>
      <c r="T5" s="58"/>
      <c r="U5" s="29">
        <v>0</v>
      </c>
    </row>
    <row r="6" spans="1:21" x14ac:dyDescent="0.3">
      <c r="A6" s="51" t="s">
        <v>47</v>
      </c>
      <c r="B6" s="59">
        <v>0</v>
      </c>
      <c r="C6" s="59">
        <v>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60">
        <v>0</v>
      </c>
      <c r="K6" s="59">
        <v>0</v>
      </c>
      <c r="L6" s="60">
        <v>0</v>
      </c>
      <c r="M6" s="59">
        <v>0</v>
      </c>
      <c r="N6" s="60">
        <v>0</v>
      </c>
      <c r="O6" s="92">
        <v>0</v>
      </c>
      <c r="P6" s="59"/>
      <c r="Q6" s="60"/>
      <c r="R6" s="59"/>
      <c r="S6" s="59"/>
      <c r="T6" s="60"/>
      <c r="U6" s="62">
        <v>0</v>
      </c>
    </row>
    <row r="7" spans="1:21" x14ac:dyDescent="0.3">
      <c r="A7" s="51" t="s">
        <v>63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42857</v>
      </c>
      <c r="J7" s="60">
        <v>0</v>
      </c>
      <c r="K7" s="59">
        <v>0</v>
      </c>
      <c r="L7" s="60">
        <v>0</v>
      </c>
      <c r="M7" s="59">
        <v>0</v>
      </c>
      <c r="N7" s="60">
        <v>0</v>
      </c>
      <c r="O7" s="92">
        <v>0</v>
      </c>
      <c r="P7" s="59"/>
      <c r="Q7" s="60"/>
      <c r="R7" s="59"/>
      <c r="S7" s="59"/>
      <c r="T7" s="60"/>
      <c r="U7" s="62">
        <v>0</v>
      </c>
    </row>
    <row r="8" spans="1:21" x14ac:dyDescent="0.3">
      <c r="A8" s="26" t="s">
        <v>78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58">
        <v>0</v>
      </c>
      <c r="K8" s="7">
        <v>42857</v>
      </c>
      <c r="L8" s="58">
        <v>0</v>
      </c>
      <c r="M8" s="7">
        <v>0</v>
      </c>
      <c r="N8" s="58">
        <v>0</v>
      </c>
      <c r="O8" s="84">
        <v>0</v>
      </c>
      <c r="P8" s="7"/>
      <c r="Q8" s="58"/>
      <c r="R8" s="7"/>
      <c r="S8" s="7"/>
      <c r="T8" s="58"/>
      <c r="U8" s="29">
        <v>0</v>
      </c>
    </row>
    <row r="9" spans="1:21" x14ac:dyDescent="0.3">
      <c r="A9" s="26" t="s">
        <v>79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58">
        <v>0</v>
      </c>
      <c r="K9" s="7">
        <v>0</v>
      </c>
      <c r="L9" s="58">
        <v>0</v>
      </c>
      <c r="M9" s="7">
        <v>0</v>
      </c>
      <c r="N9" s="58">
        <v>0</v>
      </c>
      <c r="O9" s="84">
        <v>0</v>
      </c>
      <c r="P9" s="7"/>
      <c r="Q9" s="58"/>
      <c r="R9" s="7"/>
      <c r="S9" s="7"/>
      <c r="T9" s="58"/>
      <c r="U9" s="29">
        <v>0</v>
      </c>
    </row>
    <row r="10" spans="1:21" x14ac:dyDescent="0.3">
      <c r="A10" s="26" t="s">
        <v>80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58">
        <v>0</v>
      </c>
      <c r="K10" s="7">
        <v>0</v>
      </c>
      <c r="L10" s="58">
        <v>0</v>
      </c>
      <c r="M10" s="7">
        <v>0</v>
      </c>
      <c r="N10" s="58">
        <v>0</v>
      </c>
      <c r="O10" s="84">
        <v>0</v>
      </c>
      <c r="P10" s="7"/>
      <c r="Q10" s="58"/>
      <c r="R10" s="7"/>
      <c r="S10" s="7"/>
      <c r="T10" s="58"/>
      <c r="U10" s="29">
        <v>0</v>
      </c>
    </row>
    <row r="11" spans="1:21" x14ac:dyDescent="0.3">
      <c r="A11" s="26" t="s">
        <v>81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58">
        <v>0</v>
      </c>
      <c r="K11" s="7">
        <v>0</v>
      </c>
      <c r="L11" s="58">
        <v>42857</v>
      </c>
      <c r="M11" s="7">
        <v>0</v>
      </c>
      <c r="N11" s="58">
        <v>0</v>
      </c>
      <c r="O11" s="84">
        <v>0</v>
      </c>
      <c r="P11" s="7"/>
      <c r="Q11" s="58"/>
      <c r="R11" s="7"/>
      <c r="S11" s="7"/>
      <c r="T11" s="58"/>
      <c r="U11" s="29">
        <v>0</v>
      </c>
    </row>
    <row r="12" spans="1:21" x14ac:dyDescent="0.3">
      <c r="A12" s="26" t="s">
        <v>82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58">
        <v>0</v>
      </c>
      <c r="K12" s="7">
        <v>0</v>
      </c>
      <c r="L12" s="58">
        <v>0</v>
      </c>
      <c r="M12" s="7">
        <v>0</v>
      </c>
      <c r="N12" s="58">
        <v>0</v>
      </c>
      <c r="O12" s="84">
        <v>0</v>
      </c>
      <c r="P12" s="7"/>
      <c r="Q12" s="58"/>
      <c r="R12" s="7"/>
      <c r="S12" s="7"/>
      <c r="T12" s="58"/>
      <c r="U12" s="29">
        <v>0</v>
      </c>
    </row>
    <row r="13" spans="1:21" x14ac:dyDescent="0.3">
      <c r="A13" s="26" t="s">
        <v>83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58">
        <v>0</v>
      </c>
      <c r="K13" s="7">
        <v>0</v>
      </c>
      <c r="L13" s="58">
        <v>0</v>
      </c>
      <c r="M13" s="7">
        <v>0</v>
      </c>
      <c r="N13" s="58">
        <v>0</v>
      </c>
      <c r="O13" s="84">
        <v>0</v>
      </c>
      <c r="P13" s="7"/>
      <c r="Q13" s="58"/>
      <c r="R13" s="7"/>
      <c r="S13" s="7"/>
      <c r="T13" s="58"/>
      <c r="U13" s="29">
        <v>0</v>
      </c>
    </row>
    <row r="14" spans="1:21" x14ac:dyDescent="0.3">
      <c r="A14" s="26" t="s">
        <v>84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58">
        <v>0</v>
      </c>
      <c r="K14" s="7">
        <v>0</v>
      </c>
      <c r="L14" s="58">
        <v>0</v>
      </c>
      <c r="M14" s="7">
        <v>0</v>
      </c>
      <c r="N14" s="58">
        <v>0</v>
      </c>
      <c r="O14" s="84">
        <v>0</v>
      </c>
      <c r="P14" s="7"/>
      <c r="Q14" s="58"/>
      <c r="R14" s="7"/>
      <c r="S14" s="7"/>
      <c r="T14" s="58"/>
      <c r="U14" s="29">
        <v>0</v>
      </c>
    </row>
    <row r="15" spans="1:21" x14ac:dyDescent="0.3">
      <c r="A15" s="26" t="s">
        <v>85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58">
        <v>0</v>
      </c>
      <c r="K15" s="7">
        <v>0</v>
      </c>
      <c r="L15" s="58">
        <v>0</v>
      </c>
      <c r="M15" s="7">
        <v>0</v>
      </c>
      <c r="N15" s="58">
        <v>0</v>
      </c>
      <c r="O15" s="84">
        <v>0</v>
      </c>
      <c r="P15" s="7"/>
      <c r="Q15" s="58"/>
      <c r="R15" s="7"/>
      <c r="S15" s="7"/>
      <c r="T15" s="58"/>
      <c r="U15" s="29">
        <v>0</v>
      </c>
    </row>
    <row r="16" spans="1:21" x14ac:dyDescent="0.3">
      <c r="A16" s="51" t="s">
        <v>86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60">
        <v>0</v>
      </c>
      <c r="K16" s="59">
        <v>0</v>
      </c>
      <c r="L16" s="60">
        <v>0</v>
      </c>
      <c r="M16" s="59">
        <v>0</v>
      </c>
      <c r="N16" s="60">
        <v>0</v>
      </c>
      <c r="O16" s="92">
        <v>0</v>
      </c>
      <c r="P16" s="59"/>
      <c r="Q16" s="60"/>
      <c r="R16" s="59"/>
      <c r="S16" s="59"/>
      <c r="T16" s="60"/>
      <c r="U16" s="62">
        <v>0</v>
      </c>
    </row>
    <row r="17" spans="1:21" x14ac:dyDescent="0.3">
      <c r="A17" s="26" t="s">
        <v>70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58">
        <v>0</v>
      </c>
      <c r="K17" s="7">
        <v>0</v>
      </c>
      <c r="L17" s="58">
        <v>0</v>
      </c>
      <c r="M17" s="7">
        <v>0</v>
      </c>
      <c r="N17" s="58">
        <v>0</v>
      </c>
      <c r="O17" s="84">
        <v>0</v>
      </c>
      <c r="P17" s="7"/>
      <c r="Q17" s="58"/>
      <c r="R17" s="7"/>
      <c r="S17" s="7"/>
      <c r="T17" s="58"/>
      <c r="U17" s="29">
        <v>0</v>
      </c>
    </row>
    <row r="18" spans="1:21" x14ac:dyDescent="0.3">
      <c r="A18" s="26" t="s">
        <v>216</v>
      </c>
      <c r="B18" s="7"/>
      <c r="C18" s="7"/>
      <c r="D18" s="7"/>
      <c r="E18" s="7"/>
      <c r="F18" s="7"/>
      <c r="G18" s="7"/>
      <c r="H18" s="7"/>
      <c r="I18" s="7"/>
      <c r="J18" s="58"/>
      <c r="K18" s="7"/>
      <c r="L18" s="58"/>
      <c r="M18" s="7"/>
      <c r="N18" s="58"/>
      <c r="O18" s="84"/>
      <c r="P18" s="7"/>
      <c r="Q18" s="58"/>
      <c r="R18" s="7"/>
      <c r="S18" s="7"/>
      <c r="T18" s="58"/>
      <c r="U18" s="29"/>
    </row>
    <row r="19" spans="1:21" x14ac:dyDescent="0.3">
      <c r="A19" s="51" t="s">
        <v>217</v>
      </c>
      <c r="B19" s="59"/>
      <c r="C19" s="59"/>
      <c r="D19" s="59"/>
      <c r="E19" s="59"/>
      <c r="F19" s="59"/>
      <c r="G19" s="59"/>
      <c r="H19" s="59"/>
      <c r="I19" s="59"/>
      <c r="J19" s="60"/>
      <c r="K19" s="59"/>
      <c r="L19" s="60"/>
      <c r="M19" s="59"/>
      <c r="N19" s="60"/>
      <c r="O19" s="92"/>
      <c r="P19" s="59"/>
      <c r="Q19" s="60"/>
      <c r="R19" s="59"/>
      <c r="S19" s="59"/>
      <c r="T19" s="60"/>
      <c r="U19" s="62"/>
    </row>
    <row r="20" spans="1:21" x14ac:dyDescent="0.3">
      <c r="A20" s="26" t="s">
        <v>67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58">
        <v>0</v>
      </c>
      <c r="K20" s="7">
        <v>0</v>
      </c>
      <c r="L20" s="58">
        <v>0</v>
      </c>
      <c r="M20" s="7">
        <v>0</v>
      </c>
      <c r="N20" s="58">
        <v>0</v>
      </c>
      <c r="O20" s="84">
        <v>0</v>
      </c>
      <c r="P20" s="7"/>
      <c r="Q20" s="58"/>
      <c r="R20" s="7"/>
      <c r="S20" s="7"/>
      <c r="T20" s="58"/>
      <c r="U20" s="29">
        <v>42857</v>
      </c>
    </row>
    <row r="21" spans="1:21" x14ac:dyDescent="0.3">
      <c r="A21" s="51" t="s">
        <v>68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60">
        <v>0</v>
      </c>
      <c r="K21" s="59">
        <v>0</v>
      </c>
      <c r="L21" s="60">
        <v>0</v>
      </c>
      <c r="M21" s="59">
        <v>0</v>
      </c>
      <c r="N21" s="60">
        <v>0</v>
      </c>
      <c r="O21" s="92">
        <v>0</v>
      </c>
      <c r="P21" s="59"/>
      <c r="Q21" s="60"/>
      <c r="R21" s="59"/>
      <c r="S21" s="59"/>
      <c r="T21" s="60"/>
      <c r="U21" s="62">
        <v>42857</v>
      </c>
    </row>
    <row r="22" spans="1:21" x14ac:dyDescent="0.3">
      <c r="A22" s="26" t="s">
        <v>72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58">
        <v>0</v>
      </c>
      <c r="K22" s="7">
        <v>0</v>
      </c>
      <c r="L22" s="58">
        <v>0</v>
      </c>
      <c r="M22" s="7">
        <v>0</v>
      </c>
      <c r="N22" s="58">
        <v>0</v>
      </c>
      <c r="O22" s="84">
        <v>0</v>
      </c>
      <c r="P22" s="7"/>
      <c r="Q22" s="58"/>
      <c r="R22" s="7"/>
      <c r="S22" s="7"/>
      <c r="T22" s="58"/>
      <c r="U22" s="29">
        <v>0</v>
      </c>
    </row>
    <row r="23" spans="1:21" ht="16.2" thickBot="1" x14ac:dyDescent="0.35">
      <c r="A23" s="27" t="s">
        <v>73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63">
        <v>0</v>
      </c>
      <c r="K23" s="8">
        <v>0</v>
      </c>
      <c r="L23" s="63">
        <v>0</v>
      </c>
      <c r="M23" s="8">
        <v>0</v>
      </c>
      <c r="N23" s="63">
        <v>0</v>
      </c>
      <c r="O23" s="85">
        <v>71429</v>
      </c>
      <c r="P23" s="8"/>
      <c r="Q23" s="63"/>
      <c r="R23" s="8"/>
      <c r="S23" s="8"/>
      <c r="T23" s="63"/>
      <c r="U23" s="9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213</v>
      </c>
    </row>
    <row r="2" spans="1:62" x14ac:dyDescent="0.3">
      <c r="A2" s="4" t="s">
        <v>180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61" t="s">
        <v>86</v>
      </c>
      <c r="K2" s="5" t="s">
        <v>65</v>
      </c>
      <c r="L2" s="61" t="s">
        <v>66</v>
      </c>
      <c r="M2" s="5" t="s">
        <v>72</v>
      </c>
      <c r="N2" s="61" t="s">
        <v>73</v>
      </c>
      <c r="O2" s="54" t="s">
        <v>70</v>
      </c>
      <c r="P2" s="5" t="s">
        <v>216</v>
      </c>
      <c r="Q2" s="61" t="s">
        <v>217</v>
      </c>
      <c r="R2" s="25" t="s">
        <v>63</v>
      </c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</row>
    <row r="3" spans="1:62" x14ac:dyDescent="0.3">
      <c r="A3" s="26" t="s">
        <v>44</v>
      </c>
      <c r="B3" s="7">
        <v>6</v>
      </c>
      <c r="C3" s="7"/>
      <c r="D3" s="7"/>
      <c r="E3" s="7"/>
      <c r="F3" s="7"/>
      <c r="G3" s="7"/>
      <c r="H3" s="7"/>
      <c r="I3" s="7"/>
      <c r="J3" s="58"/>
      <c r="K3" s="7"/>
      <c r="L3" s="58"/>
      <c r="M3" s="7"/>
      <c r="N3" s="58"/>
      <c r="O3" s="84"/>
      <c r="P3" s="7"/>
      <c r="Q3" s="58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45</v>
      </c>
      <c r="B4" s="7"/>
      <c r="C4" s="7"/>
      <c r="D4" s="7"/>
      <c r="E4" s="7"/>
      <c r="F4" s="7">
        <v>6</v>
      </c>
      <c r="G4" s="7"/>
      <c r="H4" s="7"/>
      <c r="I4" s="7"/>
      <c r="J4" s="58"/>
      <c r="K4" s="7"/>
      <c r="L4" s="58"/>
      <c r="M4" s="7"/>
      <c r="N4" s="58"/>
      <c r="O4" s="84"/>
      <c r="P4" s="7"/>
      <c r="Q4" s="58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46</v>
      </c>
      <c r="B5" s="7"/>
      <c r="C5" s="7"/>
      <c r="D5" s="7"/>
      <c r="E5" s="7"/>
      <c r="F5" s="7"/>
      <c r="G5" s="7">
        <v>6</v>
      </c>
      <c r="H5" s="7"/>
      <c r="I5" s="7"/>
      <c r="J5" s="58"/>
      <c r="K5" s="7"/>
      <c r="L5" s="58"/>
      <c r="M5" s="7"/>
      <c r="N5" s="58"/>
      <c r="O5" s="84"/>
      <c r="P5" s="7"/>
      <c r="Q5" s="58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51" t="s">
        <v>47</v>
      </c>
      <c r="B6" s="59"/>
      <c r="C6" s="59"/>
      <c r="D6" s="59"/>
      <c r="E6" s="59"/>
      <c r="F6" s="59"/>
      <c r="G6" s="59"/>
      <c r="H6" s="59"/>
      <c r="I6" s="59"/>
      <c r="J6" s="60"/>
      <c r="K6" s="59"/>
      <c r="L6" s="60"/>
      <c r="M6" s="59"/>
      <c r="N6" s="60"/>
      <c r="O6" s="92"/>
      <c r="P6" s="59"/>
      <c r="Q6" s="60"/>
      <c r="R6" s="62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51" t="s">
        <v>63</v>
      </c>
      <c r="B7" s="59"/>
      <c r="C7" s="59"/>
      <c r="D7" s="59"/>
      <c r="E7" s="59"/>
      <c r="F7" s="59"/>
      <c r="G7" s="59"/>
      <c r="H7" s="59"/>
      <c r="I7" s="59">
        <v>6</v>
      </c>
      <c r="J7" s="60"/>
      <c r="K7" s="59"/>
      <c r="L7" s="60"/>
      <c r="M7" s="59"/>
      <c r="N7" s="60"/>
      <c r="O7" s="92"/>
      <c r="P7" s="59"/>
      <c r="Q7" s="60"/>
      <c r="R7" s="62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78</v>
      </c>
      <c r="B8" s="7"/>
      <c r="C8" s="7">
        <v>8</v>
      </c>
      <c r="D8" s="7"/>
      <c r="E8" s="7"/>
      <c r="F8" s="7"/>
      <c r="G8" s="7"/>
      <c r="H8" s="7"/>
      <c r="I8" s="7"/>
      <c r="J8" s="58"/>
      <c r="K8" s="7">
        <v>8</v>
      </c>
      <c r="L8" s="58"/>
      <c r="M8" s="7"/>
      <c r="N8" s="58"/>
      <c r="O8" s="84"/>
      <c r="P8" s="7"/>
      <c r="Q8" s="58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79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58"/>
      <c r="K9" s="7"/>
      <c r="L9" s="58"/>
      <c r="M9" s="7"/>
      <c r="N9" s="58"/>
      <c r="O9" s="84"/>
      <c r="P9" s="7"/>
      <c r="Q9" s="58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80</v>
      </c>
      <c r="B10" s="7"/>
      <c r="C10" s="7"/>
      <c r="D10" s="7"/>
      <c r="E10" s="7">
        <v>8</v>
      </c>
      <c r="F10" s="7"/>
      <c r="G10" s="7"/>
      <c r="H10" s="7"/>
      <c r="I10" s="7"/>
      <c r="J10" s="58"/>
      <c r="K10" s="7"/>
      <c r="L10" s="58"/>
      <c r="M10" s="7"/>
      <c r="N10" s="58"/>
      <c r="O10" s="84"/>
      <c r="P10" s="7"/>
      <c r="Q10" s="58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81</v>
      </c>
      <c r="B11" s="7"/>
      <c r="C11" s="7"/>
      <c r="D11" s="7"/>
      <c r="E11" s="7"/>
      <c r="F11" s="7"/>
      <c r="G11" s="7">
        <v>8</v>
      </c>
      <c r="H11" s="7"/>
      <c r="I11" s="7"/>
      <c r="J11" s="58"/>
      <c r="K11" s="7"/>
      <c r="L11" s="58">
        <v>8</v>
      </c>
      <c r="M11" s="7"/>
      <c r="N11" s="58"/>
      <c r="O11" s="84"/>
      <c r="P11" s="7"/>
      <c r="Q11" s="58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82</v>
      </c>
      <c r="B12" s="7"/>
      <c r="C12" s="7"/>
      <c r="D12" s="7"/>
      <c r="E12" s="7"/>
      <c r="F12" s="7"/>
      <c r="G12" s="7"/>
      <c r="H12" s="7"/>
      <c r="I12" s="7">
        <v>8</v>
      </c>
      <c r="J12" s="58"/>
      <c r="K12" s="7"/>
      <c r="L12" s="58"/>
      <c r="M12" s="7"/>
      <c r="N12" s="58"/>
      <c r="O12" s="84"/>
      <c r="P12" s="7"/>
      <c r="Q12" s="58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83</v>
      </c>
      <c r="B13" s="7"/>
      <c r="C13" s="7"/>
      <c r="D13" s="7"/>
      <c r="E13" s="7"/>
      <c r="F13" s="7"/>
      <c r="G13" s="7"/>
      <c r="H13" s="7">
        <v>8</v>
      </c>
      <c r="I13" s="7"/>
      <c r="J13" s="58"/>
      <c r="K13" s="7"/>
      <c r="L13" s="58"/>
      <c r="M13" s="7"/>
      <c r="N13" s="58"/>
      <c r="O13" s="84"/>
      <c r="P13" s="7"/>
      <c r="Q13" s="58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84</v>
      </c>
      <c r="B14" s="7"/>
      <c r="C14" s="7"/>
      <c r="D14" s="7"/>
      <c r="E14" s="7"/>
      <c r="F14" s="7"/>
      <c r="G14" s="7"/>
      <c r="H14" s="7"/>
      <c r="I14" s="7">
        <v>8</v>
      </c>
      <c r="J14" s="58"/>
      <c r="K14" s="7"/>
      <c r="L14" s="58"/>
      <c r="M14" s="7"/>
      <c r="N14" s="58"/>
      <c r="O14" s="84"/>
      <c r="P14" s="7"/>
      <c r="Q14" s="58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85</v>
      </c>
      <c r="B15" s="7"/>
      <c r="C15" s="7"/>
      <c r="D15" s="7"/>
      <c r="E15" s="7"/>
      <c r="F15" s="7"/>
      <c r="G15" s="7"/>
      <c r="H15" s="7"/>
      <c r="I15" s="7"/>
      <c r="J15" s="58"/>
      <c r="K15" s="7"/>
      <c r="L15" s="58"/>
      <c r="M15" s="7"/>
      <c r="N15" s="58"/>
      <c r="O15" s="84"/>
      <c r="P15" s="7"/>
      <c r="Q15" s="58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51" t="s">
        <v>86</v>
      </c>
      <c r="B16" s="59"/>
      <c r="C16" s="59"/>
      <c r="D16" s="59"/>
      <c r="E16" s="59"/>
      <c r="F16" s="59"/>
      <c r="G16" s="59"/>
      <c r="H16" s="59"/>
      <c r="I16" s="59"/>
      <c r="J16" s="60"/>
      <c r="K16" s="59"/>
      <c r="L16" s="60"/>
      <c r="M16" s="59"/>
      <c r="N16" s="60"/>
      <c r="O16" s="92"/>
      <c r="P16" s="59"/>
      <c r="Q16" s="60"/>
      <c r="R16" s="62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70</v>
      </c>
      <c r="B17" s="7"/>
      <c r="C17" s="7"/>
      <c r="D17" s="7"/>
      <c r="E17" s="7"/>
      <c r="F17" s="7"/>
      <c r="G17" s="7"/>
      <c r="H17" s="7"/>
      <c r="I17" s="7"/>
      <c r="J17" s="58"/>
      <c r="K17" s="7"/>
      <c r="L17" s="58"/>
      <c r="M17" s="7"/>
      <c r="N17" s="58"/>
      <c r="O17" s="84"/>
      <c r="P17" s="7"/>
      <c r="Q17" s="58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216</v>
      </c>
      <c r="B18" s="7"/>
      <c r="C18" s="7"/>
      <c r="D18" s="7"/>
      <c r="E18" s="7"/>
      <c r="F18" s="7"/>
      <c r="G18" s="7"/>
      <c r="H18" s="7"/>
      <c r="I18" s="7"/>
      <c r="J18" s="58"/>
      <c r="K18" s="7"/>
      <c r="L18" s="58"/>
      <c r="M18" s="7"/>
      <c r="N18" s="58"/>
      <c r="O18" s="84"/>
      <c r="P18" s="7"/>
      <c r="Q18" s="58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51" t="s">
        <v>217</v>
      </c>
      <c r="B19" s="59"/>
      <c r="C19" s="59"/>
      <c r="D19" s="59"/>
      <c r="E19" s="59"/>
      <c r="F19" s="59"/>
      <c r="G19" s="59"/>
      <c r="H19" s="59"/>
      <c r="I19" s="59"/>
      <c r="J19" s="60"/>
      <c r="K19" s="59"/>
      <c r="L19" s="60"/>
      <c r="M19" s="59"/>
      <c r="N19" s="60"/>
      <c r="O19" s="92"/>
      <c r="P19" s="59"/>
      <c r="Q19" s="60"/>
      <c r="R19" s="62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67</v>
      </c>
      <c r="B20" s="7"/>
      <c r="C20" s="7"/>
      <c r="D20" s="7"/>
      <c r="E20" s="7"/>
      <c r="F20" s="7"/>
      <c r="G20" s="7"/>
      <c r="H20" s="7"/>
      <c r="I20" s="7"/>
      <c r="J20" s="58"/>
      <c r="K20" s="7"/>
      <c r="L20" s="58"/>
      <c r="M20" s="7"/>
      <c r="N20" s="58"/>
      <c r="O20" s="84"/>
      <c r="P20" s="7"/>
      <c r="Q20" s="58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51" t="s">
        <v>68</v>
      </c>
      <c r="B21" s="59"/>
      <c r="C21" s="59"/>
      <c r="D21" s="59"/>
      <c r="E21" s="59"/>
      <c r="F21" s="59"/>
      <c r="G21" s="59"/>
      <c r="H21" s="59"/>
      <c r="I21" s="59"/>
      <c r="J21" s="60"/>
      <c r="K21" s="59"/>
      <c r="L21" s="60"/>
      <c r="M21" s="59"/>
      <c r="N21" s="60"/>
      <c r="O21" s="92"/>
      <c r="P21" s="59"/>
      <c r="Q21" s="60"/>
      <c r="R21" s="62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72</v>
      </c>
      <c r="B22" s="7"/>
      <c r="C22" s="7"/>
      <c r="D22" s="7"/>
      <c r="E22" s="7"/>
      <c r="F22" s="7"/>
      <c r="G22" s="7"/>
      <c r="H22" s="7"/>
      <c r="I22" s="7"/>
      <c r="J22" s="58"/>
      <c r="K22" s="7"/>
      <c r="L22" s="58"/>
      <c r="M22" s="7"/>
      <c r="N22" s="58"/>
      <c r="O22" s="84"/>
      <c r="P22" s="7"/>
      <c r="Q22" s="58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73</v>
      </c>
      <c r="B23" s="8"/>
      <c r="C23" s="8"/>
      <c r="D23" s="8"/>
      <c r="E23" s="8"/>
      <c r="F23" s="8"/>
      <c r="G23" s="8"/>
      <c r="H23" s="8"/>
      <c r="I23" s="8"/>
      <c r="J23" s="63"/>
      <c r="K23" s="8"/>
      <c r="L23" s="63"/>
      <c r="M23" s="8"/>
      <c r="N23" s="63"/>
      <c r="O23" s="85">
        <v>8</v>
      </c>
      <c r="P23" s="8"/>
      <c r="Q23" s="63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8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8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8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8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8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8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8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8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8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8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8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8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8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8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8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8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8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8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8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8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8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8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8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8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8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8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8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8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8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8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8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8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8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8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8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8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8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8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8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8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E10" sqref="E10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255</v>
      </c>
    </row>
    <row r="2" spans="1:1" x14ac:dyDescent="0.3">
      <c r="A2" s="2" t="s">
        <v>188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e">
        <f>_xlfn.CONCAT( "Table of Initial Disposal Capacity [",VLOOKUP("volume",#REF!, 2, FALSE),"/", VLOOKUP("time",#REF!, 2, FALSE),"]")</f>
        <v>#REF!</v>
      </c>
    </row>
    <row r="2" spans="1:2" s="6" customFormat="1" x14ac:dyDescent="0.3">
      <c r="A2" s="4" t="s">
        <v>181</v>
      </c>
      <c r="B2" s="25" t="s">
        <v>43</v>
      </c>
    </row>
    <row r="3" spans="1:2" x14ac:dyDescent="0.3">
      <c r="A3" s="26" t="s">
        <v>65</v>
      </c>
      <c r="B3" s="35">
        <v>9285.7142857143008</v>
      </c>
    </row>
    <row r="4" spans="1:2" ht="16.2" thickBot="1" x14ac:dyDescent="0.35">
      <c r="A4" s="27" t="s">
        <v>66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e">
        <f>_xlfn.CONCAT( "Table of Initial Storage Capacity [",VLOOKUP("volume",#REF!, 2, FALSE),"]")</f>
        <v>#REF!</v>
      </c>
    </row>
    <row r="2" spans="1:2" s="6" customFormat="1" x14ac:dyDescent="0.3">
      <c r="A2" s="4" t="s">
        <v>122</v>
      </c>
      <c r="B2" s="25" t="s">
        <v>43</v>
      </c>
    </row>
    <row r="3" spans="1:2" x14ac:dyDescent="0.3">
      <c r="A3" s="26" t="s">
        <v>70</v>
      </c>
      <c r="B3" s="35">
        <v>0</v>
      </c>
    </row>
    <row r="4" spans="1:2" x14ac:dyDescent="0.3">
      <c r="A4" s="26" t="s">
        <v>216</v>
      </c>
      <c r="B4" s="35">
        <v>0</v>
      </c>
    </row>
    <row r="5" spans="1:2" ht="16.2" thickBot="1" x14ac:dyDescent="0.35">
      <c r="A5" s="27" t="s">
        <v>217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e">
        <f>_xlfn.CONCAT( "Table of Initial Treatment Capacity [",VLOOKUP("volume",#REF!, 2, FALSE),"/", VLOOKUP("time",#REF!, 2, FALSE),"]")</f>
        <v>#REF!</v>
      </c>
    </row>
    <row r="2" spans="1:6" x14ac:dyDescent="0.3">
      <c r="A2" s="4" t="s">
        <v>120</v>
      </c>
      <c r="B2" s="54" t="s">
        <v>74</v>
      </c>
      <c r="C2" s="5" t="s">
        <v>75</v>
      </c>
      <c r="D2" s="5" t="s">
        <v>204</v>
      </c>
      <c r="E2" s="5" t="s">
        <v>205</v>
      </c>
      <c r="F2" s="25" t="s">
        <v>206</v>
      </c>
    </row>
    <row r="3" spans="1:6" x14ac:dyDescent="0.3">
      <c r="A3" s="26" t="s">
        <v>72</v>
      </c>
      <c r="B3" s="52">
        <v>0</v>
      </c>
      <c r="C3" s="53">
        <v>0</v>
      </c>
      <c r="D3" s="53">
        <v>0</v>
      </c>
      <c r="E3" s="53">
        <v>0</v>
      </c>
      <c r="F3" s="43">
        <v>0</v>
      </c>
    </row>
    <row r="4" spans="1:6" ht="16.2" thickBot="1" x14ac:dyDescent="0.35">
      <c r="A4" s="27" t="s">
        <v>73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e">
        <f>_xlfn.CONCAT( "Table of Beneficial Reuse minimum required flow [",VLOOKUP("volume",#REF!, 2, FALSE),"/", VLOOKUP("time",#REF!, 2, FALSE),"]")</f>
        <v>#REF!</v>
      </c>
    </row>
    <row r="2" spans="1:53" x14ac:dyDescent="0.3">
      <c r="A2" s="4" t="s">
        <v>228</v>
      </c>
      <c r="B2" s="5" t="s">
        <v>128</v>
      </c>
      <c r="C2" s="5" t="s">
        <v>129</v>
      </c>
      <c r="D2" s="5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5" t="s">
        <v>135</v>
      </c>
      <c r="J2" s="5" t="s">
        <v>136</v>
      </c>
      <c r="K2" s="5" t="s">
        <v>137</v>
      </c>
      <c r="L2" s="5" t="s">
        <v>138</v>
      </c>
      <c r="M2" s="5" t="s">
        <v>139</v>
      </c>
      <c r="N2" s="5" t="s">
        <v>140</v>
      </c>
      <c r="O2" s="5" t="s">
        <v>141</v>
      </c>
      <c r="P2" s="5" t="s">
        <v>142</v>
      </c>
      <c r="Q2" s="5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5" t="s">
        <v>148</v>
      </c>
      <c r="W2" s="5" t="s">
        <v>149</v>
      </c>
      <c r="X2" s="5" t="s">
        <v>150</v>
      </c>
      <c r="Y2" s="5" t="s">
        <v>151</v>
      </c>
      <c r="Z2" s="5" t="s">
        <v>152</v>
      </c>
      <c r="AA2" s="5" t="s">
        <v>153</v>
      </c>
      <c r="AB2" s="5" t="s">
        <v>154</v>
      </c>
      <c r="AC2" s="5" t="s">
        <v>155</v>
      </c>
      <c r="AD2" s="5" t="s">
        <v>156</v>
      </c>
      <c r="AE2" s="5" t="s">
        <v>157</v>
      </c>
      <c r="AF2" s="5" t="s">
        <v>158</v>
      </c>
      <c r="AG2" s="5" t="s">
        <v>159</v>
      </c>
      <c r="AH2" s="5" t="s">
        <v>160</v>
      </c>
      <c r="AI2" s="5" t="s">
        <v>161</v>
      </c>
      <c r="AJ2" s="5" t="s">
        <v>162</v>
      </c>
      <c r="AK2" s="5" t="s">
        <v>163</v>
      </c>
      <c r="AL2" s="5" t="s">
        <v>164</v>
      </c>
      <c r="AM2" s="5" t="s">
        <v>165</v>
      </c>
      <c r="AN2" s="5" t="s">
        <v>166</v>
      </c>
      <c r="AO2" s="5" t="s">
        <v>167</v>
      </c>
      <c r="AP2" s="5" t="s">
        <v>168</v>
      </c>
      <c r="AQ2" s="5" t="s">
        <v>169</v>
      </c>
      <c r="AR2" s="5" t="s">
        <v>170</v>
      </c>
      <c r="AS2" s="5" t="s">
        <v>171</v>
      </c>
      <c r="AT2" s="5" t="s">
        <v>172</v>
      </c>
      <c r="AU2" s="5" t="s">
        <v>173</v>
      </c>
      <c r="AV2" s="5" t="s">
        <v>174</v>
      </c>
      <c r="AW2" s="5" t="s">
        <v>175</v>
      </c>
      <c r="AX2" s="5" t="s">
        <v>176</v>
      </c>
      <c r="AY2" s="5" t="s">
        <v>177</v>
      </c>
      <c r="AZ2" s="5" t="s">
        <v>178</v>
      </c>
      <c r="BA2" s="25" t="s">
        <v>179</v>
      </c>
    </row>
    <row r="3" spans="1:53" x14ac:dyDescent="0.3">
      <c r="A3" s="26" t="s">
        <v>218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219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220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e">
        <f>_xlfn.CONCAT( "Table of Beneficial Reuse Capacity [",VLOOKUP("volume",#REF!, 2, FALSE),"/", VLOOKUP("time",#REF!, 2, FALSE),"] (leave cells blank to indicate infinite capacity)")</f>
        <v>#REF!</v>
      </c>
    </row>
    <row r="2" spans="1:53" x14ac:dyDescent="0.3">
      <c r="A2" s="4" t="s">
        <v>228</v>
      </c>
      <c r="B2" s="5" t="s">
        <v>128</v>
      </c>
      <c r="C2" s="5" t="s">
        <v>129</v>
      </c>
      <c r="D2" s="5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5" t="s">
        <v>135</v>
      </c>
      <c r="J2" s="5" t="s">
        <v>136</v>
      </c>
      <c r="K2" s="5" t="s">
        <v>137</v>
      </c>
      <c r="L2" s="5" t="s">
        <v>138</v>
      </c>
      <c r="M2" s="5" t="s">
        <v>139</v>
      </c>
      <c r="N2" s="5" t="s">
        <v>140</v>
      </c>
      <c r="O2" s="5" t="s">
        <v>141</v>
      </c>
      <c r="P2" s="5" t="s">
        <v>142</v>
      </c>
      <c r="Q2" s="5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5" t="s">
        <v>148</v>
      </c>
      <c r="W2" s="5" t="s">
        <v>149</v>
      </c>
      <c r="X2" s="5" t="s">
        <v>150</v>
      </c>
      <c r="Y2" s="5" t="s">
        <v>151</v>
      </c>
      <c r="Z2" s="5" t="s">
        <v>152</v>
      </c>
      <c r="AA2" s="5" t="s">
        <v>153</v>
      </c>
      <c r="AB2" s="5" t="s">
        <v>154</v>
      </c>
      <c r="AC2" s="5" t="s">
        <v>155</v>
      </c>
      <c r="AD2" s="5" t="s">
        <v>156</v>
      </c>
      <c r="AE2" s="5" t="s">
        <v>157</v>
      </c>
      <c r="AF2" s="5" t="s">
        <v>158</v>
      </c>
      <c r="AG2" s="5" t="s">
        <v>159</v>
      </c>
      <c r="AH2" s="5" t="s">
        <v>160</v>
      </c>
      <c r="AI2" s="5" t="s">
        <v>161</v>
      </c>
      <c r="AJ2" s="5" t="s">
        <v>162</v>
      </c>
      <c r="AK2" s="5" t="s">
        <v>163</v>
      </c>
      <c r="AL2" s="5" t="s">
        <v>164</v>
      </c>
      <c r="AM2" s="5" t="s">
        <v>165</v>
      </c>
      <c r="AN2" s="5" t="s">
        <v>166</v>
      </c>
      <c r="AO2" s="5" t="s">
        <v>167</v>
      </c>
      <c r="AP2" s="5" t="s">
        <v>168</v>
      </c>
      <c r="AQ2" s="5" t="s">
        <v>169</v>
      </c>
      <c r="AR2" s="5" t="s">
        <v>170</v>
      </c>
      <c r="AS2" s="5" t="s">
        <v>171</v>
      </c>
      <c r="AT2" s="5" t="s">
        <v>172</v>
      </c>
      <c r="AU2" s="5" t="s">
        <v>173</v>
      </c>
      <c r="AV2" s="5" t="s">
        <v>174</v>
      </c>
      <c r="AW2" s="5" t="s">
        <v>175</v>
      </c>
      <c r="AX2" s="5" t="s">
        <v>176</v>
      </c>
      <c r="AY2" s="5" t="s">
        <v>177</v>
      </c>
      <c r="AZ2" s="5" t="s">
        <v>178</v>
      </c>
      <c r="BA2" s="25" t="s">
        <v>179</v>
      </c>
    </row>
    <row r="3" spans="1:53" x14ac:dyDescent="0.3">
      <c r="A3" s="26" t="s">
        <v>218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219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220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e">
        <f>_xlfn.CONCAT( "Table of External Water Sourcing Availability [",VLOOKUP("volume",#REF!, 2, FALSE),"/", VLOOKUP("time",#REF!, 2, FALSE),"]")</f>
        <v>#REF!</v>
      </c>
      <c r="E1" s="1" t="s">
        <v>67</v>
      </c>
      <c r="F1" s="1">
        <v>71428.571428571406</v>
      </c>
      <c r="H1" s="1" t="s">
        <v>68</v>
      </c>
      <c r="I1" s="1">
        <v>42857.142857142899</v>
      </c>
      <c r="K1" s="1" t="s">
        <v>199</v>
      </c>
      <c r="L1" s="1">
        <v>0.7</v>
      </c>
    </row>
    <row r="2" spans="1:53" s="6" customFormat="1" x14ac:dyDescent="0.3">
      <c r="A2" s="4" t="s">
        <v>259</v>
      </c>
      <c r="B2" s="5" t="s">
        <v>128</v>
      </c>
      <c r="C2" s="5" t="s">
        <v>129</v>
      </c>
      <c r="D2" s="5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5" t="s">
        <v>135</v>
      </c>
      <c r="J2" s="5" t="s">
        <v>136</v>
      </c>
      <c r="K2" s="5" t="s">
        <v>137</v>
      </c>
      <c r="L2" s="5" t="s">
        <v>138</v>
      </c>
      <c r="M2" s="5" t="s">
        <v>139</v>
      </c>
      <c r="N2" s="5" t="s">
        <v>140</v>
      </c>
      <c r="O2" s="5" t="s">
        <v>141</v>
      </c>
      <c r="P2" s="5" t="s">
        <v>142</v>
      </c>
      <c r="Q2" s="5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5" t="s">
        <v>148</v>
      </c>
      <c r="W2" s="5" t="s">
        <v>149</v>
      </c>
      <c r="X2" s="5" t="s">
        <v>150</v>
      </c>
      <c r="Y2" s="5" t="s">
        <v>151</v>
      </c>
      <c r="Z2" s="5" t="s">
        <v>152</v>
      </c>
      <c r="AA2" s="5" t="s">
        <v>153</v>
      </c>
      <c r="AB2" s="5" t="s">
        <v>154</v>
      </c>
      <c r="AC2" s="5" t="s">
        <v>155</v>
      </c>
      <c r="AD2" s="5" t="s">
        <v>156</v>
      </c>
      <c r="AE2" s="5" t="s">
        <v>157</v>
      </c>
      <c r="AF2" s="5" t="s">
        <v>158</v>
      </c>
      <c r="AG2" s="5" t="s">
        <v>159</v>
      </c>
      <c r="AH2" s="5" t="s">
        <v>160</v>
      </c>
      <c r="AI2" s="5" t="s">
        <v>161</v>
      </c>
      <c r="AJ2" s="5" t="s">
        <v>162</v>
      </c>
      <c r="AK2" s="5" t="s">
        <v>163</v>
      </c>
      <c r="AL2" s="5" t="s">
        <v>164</v>
      </c>
      <c r="AM2" s="5" t="s">
        <v>165</v>
      </c>
      <c r="AN2" s="5" t="s">
        <v>166</v>
      </c>
      <c r="AO2" s="5" t="s">
        <v>167</v>
      </c>
      <c r="AP2" s="5" t="s">
        <v>168</v>
      </c>
      <c r="AQ2" s="5" t="s">
        <v>169</v>
      </c>
      <c r="AR2" s="5" t="s">
        <v>170</v>
      </c>
      <c r="AS2" s="5" t="s">
        <v>171</v>
      </c>
      <c r="AT2" s="5" t="s">
        <v>172</v>
      </c>
      <c r="AU2" s="5" t="s">
        <v>173</v>
      </c>
      <c r="AV2" s="5" t="s">
        <v>174</v>
      </c>
      <c r="AW2" s="5" t="s">
        <v>175</v>
      </c>
      <c r="AX2" s="5" t="s">
        <v>176</v>
      </c>
      <c r="AY2" s="5" t="s">
        <v>177</v>
      </c>
      <c r="AZ2" s="5" t="s">
        <v>178</v>
      </c>
      <c r="BA2" s="25" t="s">
        <v>179</v>
      </c>
    </row>
    <row r="3" spans="1:53" s="6" customFormat="1" x14ac:dyDescent="0.3">
      <c r="A3" s="26" t="s">
        <v>67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68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e">
        <f>_xlfn.CONCAT( "Table of Completions Pad Storage Capacity [",VLOOKUP("volume",#REF!, 2, FALSE),"]")</f>
        <v>#REF!</v>
      </c>
    </row>
    <row r="2" spans="1:2" s="6" customFormat="1" x14ac:dyDescent="0.3">
      <c r="A2" s="4" t="s">
        <v>111</v>
      </c>
      <c r="B2" s="25" t="s">
        <v>43</v>
      </c>
    </row>
    <row r="3" spans="1:2" ht="16.2" thickBot="1" x14ac:dyDescent="0.35">
      <c r="A3" s="27" t="s">
        <v>63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e">
        <f>_xlfn.CONCAT( "Table of Pad Offloading Capacity [",VLOOKUP("volume",#REF!, 2, FALSE),"/", VLOOKUP("time",#REF!, 2, FALSE),"]")</f>
        <v>#REF!</v>
      </c>
    </row>
    <row r="2" spans="1:2" s="6" customFormat="1" x14ac:dyDescent="0.3">
      <c r="A2" s="4" t="s">
        <v>111</v>
      </c>
      <c r="B2" s="25" t="s">
        <v>43</v>
      </c>
    </row>
    <row r="3" spans="1:2" s="6" customFormat="1" ht="16.2" thickBot="1" x14ac:dyDescent="0.35">
      <c r="A3" s="27" t="s">
        <v>63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e">
        <f>_xlfn.CONCAT( "Table of Node Capacity Capacity [",VLOOKUP("volume",#REF!, 2, FALSE),"/", VLOOKUP("time",#REF!, 2, FALSE),"]", " *absence of node or empty cell signifies no max capacity")</f>
        <v>#REF!</v>
      </c>
    </row>
    <row r="2" spans="1:2" s="6" customFormat="1" x14ac:dyDescent="0.3">
      <c r="A2" s="4" t="s">
        <v>180</v>
      </c>
      <c r="B2" s="25" t="s">
        <v>43</v>
      </c>
    </row>
    <row r="3" spans="1:2" x14ac:dyDescent="0.3">
      <c r="A3" s="26" t="s">
        <v>78</v>
      </c>
      <c r="B3" s="35"/>
    </row>
    <row r="4" spans="1:2" x14ac:dyDescent="0.3">
      <c r="A4" s="26" t="s">
        <v>79</v>
      </c>
      <c r="B4" s="35"/>
    </row>
    <row r="5" spans="1:2" x14ac:dyDescent="0.3">
      <c r="A5" s="26" t="s">
        <v>80</v>
      </c>
      <c r="B5" s="35"/>
    </row>
    <row r="6" spans="1:2" x14ac:dyDescent="0.3">
      <c r="A6" s="26" t="s">
        <v>81</v>
      </c>
      <c r="B6" s="35"/>
    </row>
    <row r="7" spans="1:2" x14ac:dyDescent="0.3">
      <c r="A7" s="26" t="s">
        <v>82</v>
      </c>
      <c r="B7" s="35"/>
    </row>
    <row r="8" spans="1:2" x14ac:dyDescent="0.3">
      <c r="A8" s="26" t="s">
        <v>83</v>
      </c>
      <c r="B8" s="35"/>
    </row>
    <row r="9" spans="1:2" x14ac:dyDescent="0.3">
      <c r="A9" s="26" t="s">
        <v>84</v>
      </c>
      <c r="B9" s="35"/>
    </row>
    <row r="10" spans="1:2" x14ac:dyDescent="0.3">
      <c r="A10" s="26" t="s">
        <v>85</v>
      </c>
      <c r="B10" s="35"/>
    </row>
    <row r="11" spans="1:2" ht="16.2" thickBot="1" x14ac:dyDescent="0.35">
      <c r="A11" s="27" t="s">
        <v>86</v>
      </c>
      <c r="B11" s="37"/>
    </row>
    <row r="12" spans="1:2" x14ac:dyDescent="0.3">
      <c r="A12" s="11"/>
      <c r="B12" s="64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181</v>
      </c>
      <c r="B2" s="5" t="s">
        <v>128</v>
      </c>
      <c r="C2" s="5" t="s">
        <v>129</v>
      </c>
      <c r="D2" s="5" t="s">
        <v>130</v>
      </c>
      <c r="E2" s="5" t="s">
        <v>131</v>
      </c>
      <c r="F2" s="5" t="s">
        <v>132</v>
      </c>
      <c r="G2" s="5" t="s">
        <v>133</v>
      </c>
      <c r="H2" s="5" t="s">
        <v>134</v>
      </c>
      <c r="I2" s="5" t="s">
        <v>135</v>
      </c>
      <c r="J2" s="5" t="s">
        <v>136</v>
      </c>
      <c r="K2" s="5" t="s">
        <v>137</v>
      </c>
      <c r="L2" s="5" t="s">
        <v>138</v>
      </c>
      <c r="M2" s="5" t="s">
        <v>139</v>
      </c>
      <c r="N2" s="5" t="s">
        <v>140</v>
      </c>
      <c r="O2" s="5" t="s">
        <v>141</v>
      </c>
      <c r="P2" s="5" t="s">
        <v>142</v>
      </c>
      <c r="Q2" s="5" t="s">
        <v>143</v>
      </c>
      <c r="R2" s="5" t="s">
        <v>144</v>
      </c>
      <c r="S2" s="5" t="s">
        <v>145</v>
      </c>
      <c r="T2" s="5" t="s">
        <v>146</v>
      </c>
      <c r="U2" s="5" t="s">
        <v>147</v>
      </c>
      <c r="V2" s="5" t="s">
        <v>148</v>
      </c>
      <c r="W2" s="5" t="s">
        <v>149</v>
      </c>
      <c r="X2" s="5" t="s">
        <v>150</v>
      </c>
      <c r="Y2" s="5" t="s">
        <v>151</v>
      </c>
      <c r="Z2" s="5" t="s">
        <v>152</v>
      </c>
      <c r="AA2" s="5" t="s">
        <v>153</v>
      </c>
      <c r="AB2" s="5" t="s">
        <v>154</v>
      </c>
      <c r="AC2" s="5" t="s">
        <v>155</v>
      </c>
      <c r="AD2" s="5" t="s">
        <v>156</v>
      </c>
      <c r="AE2" s="5" t="s">
        <v>157</v>
      </c>
      <c r="AF2" s="5" t="s">
        <v>158</v>
      </c>
      <c r="AG2" s="5" t="s">
        <v>159</v>
      </c>
      <c r="AH2" s="5" t="s">
        <v>160</v>
      </c>
      <c r="AI2" s="5" t="s">
        <v>161</v>
      </c>
      <c r="AJ2" s="5" t="s">
        <v>162</v>
      </c>
      <c r="AK2" s="5" t="s">
        <v>163</v>
      </c>
      <c r="AL2" s="5" t="s">
        <v>164</v>
      </c>
      <c r="AM2" s="5" t="s">
        <v>165</v>
      </c>
      <c r="AN2" s="5" t="s">
        <v>166</v>
      </c>
      <c r="AO2" s="5" t="s">
        <v>167</v>
      </c>
      <c r="AP2" s="5" t="s">
        <v>168</v>
      </c>
      <c r="AQ2" s="5" t="s">
        <v>169</v>
      </c>
      <c r="AR2" s="5" t="s">
        <v>170</v>
      </c>
      <c r="AS2" s="5" t="s">
        <v>171</v>
      </c>
      <c r="AT2" s="5" t="s">
        <v>172</v>
      </c>
      <c r="AU2" s="5" t="s">
        <v>173</v>
      </c>
      <c r="AV2" s="5" t="s">
        <v>174</v>
      </c>
      <c r="AW2" s="5" t="s">
        <v>175</v>
      </c>
      <c r="AX2" s="5" t="s">
        <v>176</v>
      </c>
      <c r="AY2" s="5" t="s">
        <v>177</v>
      </c>
      <c r="AZ2" s="5" t="s">
        <v>178</v>
      </c>
      <c r="BA2" s="25" t="s">
        <v>179</v>
      </c>
    </row>
    <row r="3" spans="1:53" s="6" customFormat="1" x14ac:dyDescent="0.3">
      <c r="A3" s="26" t="s">
        <v>65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66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200</v>
      </c>
      <c r="F9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69</v>
      </c>
    </row>
    <row r="2" spans="1:16" x14ac:dyDescent="0.3">
      <c r="A2" s="2" t="s">
        <v>70</v>
      </c>
    </row>
    <row r="3" spans="1:16" x14ac:dyDescent="0.3">
      <c r="A3" s="2" t="s">
        <v>216</v>
      </c>
      <c r="N3" s="11"/>
      <c r="O3" s="11"/>
      <c r="P3" s="11"/>
    </row>
    <row r="4" spans="1:16" x14ac:dyDescent="0.3">
      <c r="A4" s="2" t="s">
        <v>217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e">
        <f>_xlfn.CONCAT( "Table of Disposal Operational Cost [",VLOOKUP("currency",#REF!, 2, FALSE),"/", VLOOKUP("volume",#REF!, 2, FALSE),"]")</f>
        <v>#REF!</v>
      </c>
    </row>
    <row r="2" spans="1:2" s="6" customFormat="1" x14ac:dyDescent="0.3">
      <c r="A2" s="4" t="s">
        <v>181</v>
      </c>
      <c r="B2" s="25" t="s">
        <v>43</v>
      </c>
    </row>
    <row r="3" spans="1:2" s="6" customFormat="1" x14ac:dyDescent="0.3">
      <c r="A3" s="26" t="s">
        <v>65</v>
      </c>
      <c r="B3" s="29">
        <v>0.35</v>
      </c>
    </row>
    <row r="4" spans="1:2" s="6" customFormat="1" ht="16.2" thickBot="1" x14ac:dyDescent="0.35">
      <c r="A4" s="27" t="s">
        <v>66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e">
        <f>_xlfn.CONCAT( "Table of Treatment Operational Cost [",VLOOKUP("currency",#REF!, 2, FALSE),"/", VLOOKUP("volume",#REF!, 2, FALSE),"]")</f>
        <v>#REF!</v>
      </c>
    </row>
    <row r="2" spans="1:3" x14ac:dyDescent="0.3">
      <c r="A2" s="4" t="s">
        <v>120</v>
      </c>
      <c r="B2" s="67" t="s">
        <v>183</v>
      </c>
      <c r="C2" s="25" t="s">
        <v>43</v>
      </c>
    </row>
    <row r="3" spans="1:3" x14ac:dyDescent="0.3">
      <c r="A3" s="26" t="s">
        <v>72</v>
      </c>
      <c r="B3" s="65" t="s">
        <v>74</v>
      </c>
      <c r="C3" s="29">
        <v>0.2</v>
      </c>
    </row>
    <row r="4" spans="1:3" x14ac:dyDescent="0.3">
      <c r="A4" s="26" t="s">
        <v>73</v>
      </c>
      <c r="B4" s="65" t="s">
        <v>74</v>
      </c>
      <c r="C4" s="29">
        <v>0.2</v>
      </c>
    </row>
    <row r="5" spans="1:3" x14ac:dyDescent="0.3">
      <c r="A5" s="26" t="s">
        <v>72</v>
      </c>
      <c r="B5" s="65" t="s">
        <v>75</v>
      </c>
      <c r="C5" s="29">
        <v>0.3</v>
      </c>
    </row>
    <row r="6" spans="1:3" x14ac:dyDescent="0.3">
      <c r="A6" s="26" t="s">
        <v>73</v>
      </c>
      <c r="B6" s="65" t="s">
        <v>75</v>
      </c>
      <c r="C6" s="29">
        <v>0.3</v>
      </c>
    </row>
    <row r="7" spans="1:3" x14ac:dyDescent="0.3">
      <c r="A7" s="26" t="s">
        <v>72</v>
      </c>
      <c r="B7" s="65" t="s">
        <v>204</v>
      </c>
      <c r="C7" s="29">
        <v>0.5</v>
      </c>
    </row>
    <row r="8" spans="1:3" x14ac:dyDescent="0.3">
      <c r="A8" s="26" t="s">
        <v>73</v>
      </c>
      <c r="B8" s="65" t="s">
        <v>204</v>
      </c>
      <c r="C8" s="29">
        <v>0.5</v>
      </c>
    </row>
    <row r="9" spans="1:3" x14ac:dyDescent="0.3">
      <c r="A9" s="26" t="s">
        <v>72</v>
      </c>
      <c r="B9" s="65" t="s">
        <v>205</v>
      </c>
      <c r="C9" s="29">
        <v>1</v>
      </c>
    </row>
    <row r="10" spans="1:3" x14ac:dyDescent="0.3">
      <c r="A10" s="26" t="s">
        <v>73</v>
      </c>
      <c r="B10" s="65" t="s">
        <v>205</v>
      </c>
      <c r="C10" s="29">
        <v>1</v>
      </c>
    </row>
    <row r="11" spans="1:3" x14ac:dyDescent="0.3">
      <c r="A11" s="26" t="s">
        <v>72</v>
      </c>
      <c r="B11" s="65" t="s">
        <v>206</v>
      </c>
      <c r="C11" s="29">
        <v>0.7</v>
      </c>
    </row>
    <row r="12" spans="1:3" ht="16.2" thickBot="1" x14ac:dyDescent="0.35">
      <c r="A12" s="27" t="s">
        <v>73</v>
      </c>
      <c r="B12" s="68" t="s">
        <v>206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e">
        <f>_xlfn.CONCAT( "Table of Reuse Operational Cost [",VLOOKUP("currency",#REF!, 2, FALSE),"/", VLOOKUP("volume",#REF!, 2, FALSE),"]")</f>
        <v>#REF!</v>
      </c>
    </row>
    <row r="2" spans="1:2" s="6" customFormat="1" x14ac:dyDescent="0.3">
      <c r="A2" s="4" t="s">
        <v>111</v>
      </c>
      <c r="B2" s="25" t="s">
        <v>43</v>
      </c>
    </row>
    <row r="3" spans="1:2" s="6" customFormat="1" ht="16.2" thickBot="1" x14ac:dyDescent="0.35">
      <c r="A3" s="27" t="s">
        <v>63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e">
        <f>_xlfn.CONCAT( "Table of Pipeline Operational Cost between Sites [",VLOOKUP("currency",#REF!, 2, FALSE),"/", VLOOKUP("volume",#REF!, 2, FALSE),"]")</f>
        <v>#REF!</v>
      </c>
    </row>
    <row r="2" spans="1:21" x14ac:dyDescent="0.3">
      <c r="A2" s="4" t="s">
        <v>180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61" t="s">
        <v>86</v>
      </c>
      <c r="K2" s="5" t="s">
        <v>65</v>
      </c>
      <c r="L2" s="61" t="s">
        <v>66</v>
      </c>
      <c r="M2" s="5" t="s">
        <v>72</v>
      </c>
      <c r="N2" s="61" t="s">
        <v>73</v>
      </c>
      <c r="O2" s="54" t="s">
        <v>70</v>
      </c>
      <c r="P2" s="5" t="s">
        <v>216</v>
      </c>
      <c r="Q2" s="61" t="s">
        <v>217</v>
      </c>
      <c r="R2" s="5" t="s">
        <v>218</v>
      </c>
      <c r="S2" s="5" t="s">
        <v>219</v>
      </c>
      <c r="T2" s="61" t="s">
        <v>220</v>
      </c>
      <c r="U2" s="25" t="s">
        <v>63</v>
      </c>
    </row>
    <row r="3" spans="1:21" x14ac:dyDescent="0.3">
      <c r="A3" s="26" t="s">
        <v>44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58">
        <v>0</v>
      </c>
      <c r="K3" s="7">
        <v>0</v>
      </c>
      <c r="L3" s="58">
        <v>0</v>
      </c>
      <c r="M3" s="7">
        <v>0</v>
      </c>
      <c r="N3" s="58">
        <v>0</v>
      </c>
      <c r="O3" s="84">
        <v>0</v>
      </c>
      <c r="P3" s="7">
        <v>0</v>
      </c>
      <c r="Q3" s="58">
        <v>0</v>
      </c>
      <c r="R3" s="7">
        <v>0</v>
      </c>
      <c r="S3" s="7">
        <v>0</v>
      </c>
      <c r="T3" s="58">
        <v>0</v>
      </c>
      <c r="U3" s="29">
        <v>0</v>
      </c>
    </row>
    <row r="4" spans="1:21" x14ac:dyDescent="0.3">
      <c r="A4" s="26" t="s">
        <v>45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58">
        <v>0</v>
      </c>
      <c r="K4" s="7">
        <v>0</v>
      </c>
      <c r="L4" s="58">
        <v>0</v>
      </c>
      <c r="M4" s="7">
        <v>0</v>
      </c>
      <c r="N4" s="58">
        <v>0</v>
      </c>
      <c r="O4" s="84">
        <v>0</v>
      </c>
      <c r="P4" s="7">
        <v>0</v>
      </c>
      <c r="Q4" s="58">
        <v>0</v>
      </c>
      <c r="R4" s="7">
        <v>0</v>
      </c>
      <c r="S4" s="7">
        <v>0</v>
      </c>
      <c r="T4" s="58">
        <v>0</v>
      </c>
      <c r="U4" s="29">
        <v>0</v>
      </c>
    </row>
    <row r="5" spans="1:21" x14ac:dyDescent="0.3">
      <c r="A5" s="26" t="s">
        <v>46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58">
        <v>0</v>
      </c>
      <c r="K5" s="7">
        <v>0</v>
      </c>
      <c r="L5" s="58">
        <v>0</v>
      </c>
      <c r="M5" s="7">
        <v>0</v>
      </c>
      <c r="N5" s="58">
        <v>0</v>
      </c>
      <c r="O5" s="84">
        <v>0</v>
      </c>
      <c r="P5" s="7">
        <v>0</v>
      </c>
      <c r="Q5" s="58">
        <v>0</v>
      </c>
      <c r="R5" s="7">
        <v>0</v>
      </c>
      <c r="S5" s="7">
        <v>0</v>
      </c>
      <c r="T5" s="58">
        <v>0</v>
      </c>
      <c r="U5" s="29">
        <v>0</v>
      </c>
    </row>
    <row r="6" spans="1:21" x14ac:dyDescent="0.3">
      <c r="A6" s="51" t="s">
        <v>47</v>
      </c>
      <c r="B6" s="59">
        <v>0</v>
      </c>
      <c r="C6" s="59">
        <v>0</v>
      </c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60">
        <v>1E-4</v>
      </c>
      <c r="K6" s="59">
        <v>0</v>
      </c>
      <c r="L6" s="60">
        <v>0</v>
      </c>
      <c r="M6" s="59">
        <v>0</v>
      </c>
      <c r="N6" s="60">
        <v>0</v>
      </c>
      <c r="O6" s="92">
        <v>0</v>
      </c>
      <c r="P6" s="59">
        <v>0</v>
      </c>
      <c r="Q6" s="60">
        <v>0</v>
      </c>
      <c r="R6" s="59">
        <v>0</v>
      </c>
      <c r="S6" s="59">
        <v>0</v>
      </c>
      <c r="T6" s="60">
        <v>0</v>
      </c>
      <c r="U6" s="62">
        <v>0</v>
      </c>
    </row>
    <row r="7" spans="1:21" x14ac:dyDescent="0.3">
      <c r="A7" s="51" t="s">
        <v>63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1E-4</v>
      </c>
      <c r="J7" s="60">
        <v>0</v>
      </c>
      <c r="K7" s="59">
        <v>0</v>
      </c>
      <c r="L7" s="60">
        <v>0</v>
      </c>
      <c r="M7" s="59">
        <v>0</v>
      </c>
      <c r="N7" s="60">
        <v>0</v>
      </c>
      <c r="O7" s="92">
        <v>0</v>
      </c>
      <c r="P7" s="59">
        <v>0</v>
      </c>
      <c r="Q7" s="60">
        <v>0</v>
      </c>
      <c r="R7" s="59">
        <v>0</v>
      </c>
      <c r="S7" s="59">
        <v>0</v>
      </c>
      <c r="T7" s="60">
        <v>0</v>
      </c>
      <c r="U7" s="62">
        <v>0</v>
      </c>
    </row>
    <row r="8" spans="1:21" x14ac:dyDescent="0.3">
      <c r="A8" s="26" t="s">
        <v>78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58">
        <v>0</v>
      </c>
      <c r="K8" s="7">
        <v>1E-4</v>
      </c>
      <c r="L8" s="58">
        <v>0</v>
      </c>
      <c r="M8" s="7">
        <v>0</v>
      </c>
      <c r="N8" s="58">
        <v>0</v>
      </c>
      <c r="O8" s="84">
        <v>0</v>
      </c>
      <c r="P8" s="7">
        <v>0</v>
      </c>
      <c r="Q8" s="58">
        <v>0</v>
      </c>
      <c r="R8" s="7">
        <v>0</v>
      </c>
      <c r="S8" s="7">
        <v>0</v>
      </c>
      <c r="T8" s="58">
        <v>0</v>
      </c>
      <c r="U8" s="29">
        <v>0</v>
      </c>
    </row>
    <row r="9" spans="1:21" x14ac:dyDescent="0.3">
      <c r="A9" s="26" t="s">
        <v>79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58">
        <v>0</v>
      </c>
      <c r="K9" s="7">
        <v>0</v>
      </c>
      <c r="L9" s="58">
        <v>0</v>
      </c>
      <c r="M9" s="7">
        <v>0</v>
      </c>
      <c r="N9" s="58">
        <v>0</v>
      </c>
      <c r="O9" s="84">
        <v>0</v>
      </c>
      <c r="P9" s="7">
        <v>0</v>
      </c>
      <c r="Q9" s="58">
        <v>0</v>
      </c>
      <c r="R9" s="7">
        <v>0</v>
      </c>
      <c r="S9" s="7">
        <v>0</v>
      </c>
      <c r="T9" s="58">
        <v>0</v>
      </c>
      <c r="U9" s="29">
        <v>0</v>
      </c>
    </row>
    <row r="10" spans="1:21" x14ac:dyDescent="0.3">
      <c r="A10" s="26" t="s">
        <v>80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58">
        <v>0</v>
      </c>
      <c r="K10" s="7">
        <v>0</v>
      </c>
      <c r="L10" s="58">
        <v>0</v>
      </c>
      <c r="M10" s="7">
        <v>1E-4</v>
      </c>
      <c r="N10" s="58">
        <v>0</v>
      </c>
      <c r="O10" s="84">
        <v>0</v>
      </c>
      <c r="P10" s="7">
        <v>0</v>
      </c>
      <c r="Q10" s="58">
        <v>0</v>
      </c>
      <c r="R10" s="7">
        <v>0</v>
      </c>
      <c r="S10" s="7">
        <v>0</v>
      </c>
      <c r="T10" s="58">
        <v>0</v>
      </c>
      <c r="U10" s="29">
        <v>0</v>
      </c>
    </row>
    <row r="11" spans="1:21" x14ac:dyDescent="0.3">
      <c r="A11" s="26" t="s">
        <v>81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58">
        <v>0</v>
      </c>
      <c r="K11" s="7">
        <v>0</v>
      </c>
      <c r="L11" s="58">
        <v>1E-4</v>
      </c>
      <c r="M11" s="7">
        <v>0</v>
      </c>
      <c r="N11" s="58">
        <v>0</v>
      </c>
      <c r="O11" s="84">
        <v>0</v>
      </c>
      <c r="P11" s="7">
        <v>0</v>
      </c>
      <c r="Q11" s="58">
        <v>0</v>
      </c>
      <c r="R11" s="7">
        <v>0</v>
      </c>
      <c r="S11" s="7">
        <v>0</v>
      </c>
      <c r="T11" s="58">
        <v>0</v>
      </c>
      <c r="U11" s="29">
        <v>0</v>
      </c>
    </row>
    <row r="12" spans="1:21" x14ac:dyDescent="0.3">
      <c r="A12" s="26" t="s">
        <v>82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58">
        <v>0</v>
      </c>
      <c r="K12" s="7">
        <v>0</v>
      </c>
      <c r="L12" s="58">
        <v>0</v>
      </c>
      <c r="M12" s="7">
        <v>0</v>
      </c>
      <c r="N12" s="58">
        <v>0</v>
      </c>
      <c r="O12" s="84">
        <v>0</v>
      </c>
      <c r="P12" s="7">
        <v>0</v>
      </c>
      <c r="Q12" s="58">
        <v>0</v>
      </c>
      <c r="R12" s="7">
        <v>0</v>
      </c>
      <c r="S12" s="7">
        <v>0</v>
      </c>
      <c r="T12" s="58">
        <v>0</v>
      </c>
      <c r="U12" s="29">
        <v>0</v>
      </c>
    </row>
    <row r="13" spans="1:21" x14ac:dyDescent="0.3">
      <c r="A13" s="26" t="s">
        <v>83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58">
        <v>0</v>
      </c>
      <c r="K13" s="7">
        <v>0</v>
      </c>
      <c r="L13" s="58">
        <v>0</v>
      </c>
      <c r="M13" s="7">
        <v>0</v>
      </c>
      <c r="N13" s="58">
        <v>0</v>
      </c>
      <c r="O13" s="84">
        <v>0</v>
      </c>
      <c r="P13" s="7">
        <v>0</v>
      </c>
      <c r="Q13" s="58">
        <v>0</v>
      </c>
      <c r="R13" s="7">
        <v>0</v>
      </c>
      <c r="S13" s="7">
        <v>0</v>
      </c>
      <c r="T13" s="58">
        <v>0</v>
      </c>
      <c r="U13" s="29">
        <v>0</v>
      </c>
    </row>
    <row r="14" spans="1:21" x14ac:dyDescent="0.3">
      <c r="A14" s="26" t="s">
        <v>84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58">
        <v>1E-4</v>
      </c>
      <c r="K14" s="7">
        <v>0</v>
      </c>
      <c r="L14" s="58">
        <v>0</v>
      </c>
      <c r="M14" s="7">
        <v>0</v>
      </c>
      <c r="N14" s="58">
        <v>0</v>
      </c>
      <c r="O14" s="84">
        <v>0</v>
      </c>
      <c r="P14" s="7">
        <v>0</v>
      </c>
      <c r="Q14" s="58">
        <v>0</v>
      </c>
      <c r="R14" s="7">
        <v>0</v>
      </c>
      <c r="S14" s="7">
        <v>0</v>
      </c>
      <c r="T14" s="58">
        <v>0</v>
      </c>
      <c r="U14" s="29">
        <v>0</v>
      </c>
    </row>
    <row r="15" spans="1:21" x14ac:dyDescent="0.3">
      <c r="A15" s="26" t="s">
        <v>85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58">
        <v>0</v>
      </c>
      <c r="K15" s="7">
        <v>0</v>
      </c>
      <c r="L15" s="58">
        <v>0</v>
      </c>
      <c r="M15" s="7">
        <v>0</v>
      </c>
      <c r="N15" s="58">
        <v>0</v>
      </c>
      <c r="O15" s="84">
        <v>0</v>
      </c>
      <c r="P15" s="7">
        <v>0</v>
      </c>
      <c r="Q15" s="58">
        <v>0</v>
      </c>
      <c r="R15" s="7">
        <v>0</v>
      </c>
      <c r="S15" s="7">
        <v>0</v>
      </c>
      <c r="T15" s="58">
        <v>0</v>
      </c>
      <c r="U15" s="29">
        <v>0</v>
      </c>
    </row>
    <row r="16" spans="1:21" x14ac:dyDescent="0.3">
      <c r="A16" s="51" t="s">
        <v>86</v>
      </c>
      <c r="B16" s="59">
        <v>0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1E-4</v>
      </c>
      <c r="I16" s="59">
        <v>0</v>
      </c>
      <c r="J16" s="60">
        <v>0</v>
      </c>
      <c r="K16" s="59">
        <v>0</v>
      </c>
      <c r="L16" s="60">
        <v>0</v>
      </c>
      <c r="M16" s="59">
        <v>0</v>
      </c>
      <c r="N16" s="60">
        <v>1E-4</v>
      </c>
      <c r="O16" s="92">
        <v>0</v>
      </c>
      <c r="P16" s="59">
        <v>0</v>
      </c>
      <c r="Q16" s="60">
        <v>0</v>
      </c>
      <c r="R16" s="59">
        <v>0</v>
      </c>
      <c r="S16" s="59">
        <v>0</v>
      </c>
      <c r="T16" s="60">
        <v>0</v>
      </c>
      <c r="U16" s="62">
        <v>0</v>
      </c>
    </row>
    <row r="17" spans="1:21" x14ac:dyDescent="0.3">
      <c r="A17" s="26" t="s">
        <v>70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58">
        <v>0</v>
      </c>
      <c r="K17" s="7">
        <v>0</v>
      </c>
      <c r="L17" s="58">
        <v>0</v>
      </c>
      <c r="M17" s="7">
        <v>0</v>
      </c>
      <c r="N17" s="58">
        <v>0</v>
      </c>
      <c r="O17" s="84">
        <v>0</v>
      </c>
      <c r="P17" s="7">
        <v>0</v>
      </c>
      <c r="Q17" s="58">
        <v>0</v>
      </c>
      <c r="R17" s="93">
        <v>0</v>
      </c>
      <c r="S17" s="94">
        <v>0</v>
      </c>
      <c r="T17" s="91">
        <v>0</v>
      </c>
      <c r="U17" s="29">
        <v>1E-4</v>
      </c>
    </row>
    <row r="18" spans="1:21" x14ac:dyDescent="0.3">
      <c r="A18" s="26" t="s">
        <v>216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58">
        <v>0</v>
      </c>
      <c r="K18" s="7">
        <v>0</v>
      </c>
      <c r="L18" s="58">
        <v>0</v>
      </c>
      <c r="M18" s="7">
        <v>0</v>
      </c>
      <c r="N18" s="58">
        <v>0</v>
      </c>
      <c r="O18" s="84">
        <v>0</v>
      </c>
      <c r="P18" s="7">
        <v>0</v>
      </c>
      <c r="Q18" s="58">
        <v>0</v>
      </c>
      <c r="R18" s="84">
        <v>1E-4</v>
      </c>
      <c r="S18" s="7">
        <v>1E-4</v>
      </c>
      <c r="T18" s="58">
        <v>0</v>
      </c>
      <c r="U18" s="29">
        <v>0</v>
      </c>
    </row>
    <row r="19" spans="1:21" x14ac:dyDescent="0.3">
      <c r="A19" s="51" t="s">
        <v>217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60">
        <v>0</v>
      </c>
      <c r="K19" s="59">
        <v>0</v>
      </c>
      <c r="L19" s="60">
        <v>0</v>
      </c>
      <c r="M19" s="59">
        <v>0</v>
      </c>
      <c r="N19" s="60">
        <v>0</v>
      </c>
      <c r="O19" s="92">
        <v>0</v>
      </c>
      <c r="P19" s="59">
        <v>0</v>
      </c>
      <c r="Q19" s="60">
        <v>0</v>
      </c>
      <c r="R19" s="92">
        <v>0</v>
      </c>
      <c r="S19" s="59">
        <v>0</v>
      </c>
      <c r="T19" s="60">
        <v>1E-4</v>
      </c>
      <c r="U19" s="62">
        <v>0</v>
      </c>
    </row>
    <row r="20" spans="1:21" x14ac:dyDescent="0.3">
      <c r="A20" s="26" t="s">
        <v>67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58">
        <v>0</v>
      </c>
      <c r="K20" s="7">
        <v>0</v>
      </c>
      <c r="L20" s="58">
        <v>0</v>
      </c>
      <c r="M20" s="7">
        <v>0</v>
      </c>
      <c r="N20" s="58">
        <v>0</v>
      </c>
      <c r="O20" s="84">
        <v>0</v>
      </c>
      <c r="P20" s="7">
        <v>0</v>
      </c>
      <c r="Q20" s="58">
        <v>0</v>
      </c>
      <c r="R20" s="7">
        <v>0</v>
      </c>
      <c r="S20" s="7">
        <v>0</v>
      </c>
      <c r="T20" s="58">
        <v>0</v>
      </c>
      <c r="U20" s="29">
        <v>1E-4</v>
      </c>
    </row>
    <row r="21" spans="1:21" x14ac:dyDescent="0.3">
      <c r="A21" s="51" t="s">
        <v>68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60">
        <v>0</v>
      </c>
      <c r="K21" s="59">
        <v>0</v>
      </c>
      <c r="L21" s="60">
        <v>0</v>
      </c>
      <c r="M21" s="59">
        <v>0</v>
      </c>
      <c r="N21" s="60">
        <v>0</v>
      </c>
      <c r="O21" s="92">
        <v>0</v>
      </c>
      <c r="P21" s="59">
        <v>0</v>
      </c>
      <c r="Q21" s="60">
        <v>0</v>
      </c>
      <c r="R21" s="59">
        <v>0</v>
      </c>
      <c r="S21" s="59">
        <v>0</v>
      </c>
      <c r="T21" s="60">
        <v>0</v>
      </c>
      <c r="U21" s="62">
        <v>1E-4</v>
      </c>
    </row>
    <row r="22" spans="1:21" x14ac:dyDescent="0.3">
      <c r="A22" s="26" t="s">
        <v>72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58">
        <v>0</v>
      </c>
      <c r="K22" s="7">
        <v>0</v>
      </c>
      <c r="L22" s="58">
        <v>0</v>
      </c>
      <c r="M22" s="7">
        <v>0</v>
      </c>
      <c r="N22" s="58">
        <v>0</v>
      </c>
      <c r="O22" s="84">
        <v>0</v>
      </c>
      <c r="P22" s="7">
        <v>1E-4</v>
      </c>
      <c r="Q22" s="58">
        <v>1E-4</v>
      </c>
      <c r="R22" s="7">
        <v>1E-4</v>
      </c>
      <c r="S22" s="94">
        <v>1E-4</v>
      </c>
      <c r="T22" s="58">
        <v>1E-4</v>
      </c>
      <c r="U22" s="29">
        <v>0</v>
      </c>
    </row>
    <row r="23" spans="1:21" ht="16.2" thickBot="1" x14ac:dyDescent="0.35">
      <c r="A23" s="27" t="s">
        <v>73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63">
        <v>0</v>
      </c>
      <c r="K23" s="8">
        <v>0</v>
      </c>
      <c r="L23" s="63">
        <v>0</v>
      </c>
      <c r="M23" s="8">
        <v>0</v>
      </c>
      <c r="N23" s="63">
        <v>0</v>
      </c>
      <c r="O23" s="85">
        <v>1E-4</v>
      </c>
      <c r="P23" s="8">
        <v>0</v>
      </c>
      <c r="Q23" s="63">
        <v>0</v>
      </c>
      <c r="R23" s="8">
        <v>0</v>
      </c>
      <c r="S23" s="8">
        <v>0</v>
      </c>
      <c r="T23" s="63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e">
        <f>_xlfn.CONCAT( "Table of External Water Souring Cost [",VLOOKUP("currency",#REF!, 2, FALSE),"/", VLOOKUP("volume",#REF!, 2, FALSE),"]")</f>
        <v>#REF!</v>
      </c>
    </row>
    <row r="2" spans="1:2" s="6" customFormat="1" x14ac:dyDescent="0.3">
      <c r="A2" s="4" t="s">
        <v>259</v>
      </c>
      <c r="B2" s="25" t="s">
        <v>43</v>
      </c>
    </row>
    <row r="3" spans="1:2" s="6" customFormat="1" x14ac:dyDescent="0.3">
      <c r="A3" s="26" t="s">
        <v>67</v>
      </c>
      <c r="B3" s="29">
        <v>1.5</v>
      </c>
    </row>
    <row r="4" spans="1:2" ht="16.2" thickBot="1" x14ac:dyDescent="0.35">
      <c r="A4" s="27" t="s">
        <v>68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e">
        <f>_xlfn.CONCAT( "Table of Trucking Hourly Cost [",VLOOKUP("currency",#REF!, 2, FALSE),"/", "hour","]")</f>
        <v>#REF!</v>
      </c>
    </row>
    <row r="2" spans="1:2" x14ac:dyDescent="0.3">
      <c r="A2" s="4" t="s">
        <v>180</v>
      </c>
      <c r="B2" s="25" t="s">
        <v>43</v>
      </c>
    </row>
    <row r="3" spans="1:2" x14ac:dyDescent="0.3">
      <c r="A3" s="26" t="s">
        <v>44</v>
      </c>
      <c r="B3" s="29">
        <v>95</v>
      </c>
    </row>
    <row r="4" spans="1:2" x14ac:dyDescent="0.3">
      <c r="A4" s="26" t="s">
        <v>45</v>
      </c>
      <c r="B4" s="29">
        <v>93</v>
      </c>
    </row>
    <row r="5" spans="1:2" x14ac:dyDescent="0.3">
      <c r="A5" s="26" t="s">
        <v>46</v>
      </c>
      <c r="B5" s="29">
        <v>97</v>
      </c>
    </row>
    <row r="6" spans="1:2" x14ac:dyDescent="0.3">
      <c r="A6" s="51" t="s">
        <v>47</v>
      </c>
      <c r="B6" s="62">
        <v>94</v>
      </c>
    </row>
    <row r="7" spans="1:2" x14ac:dyDescent="0.3">
      <c r="A7" s="71" t="s">
        <v>63</v>
      </c>
      <c r="B7" s="72">
        <v>90</v>
      </c>
    </row>
    <row r="8" spans="1:2" x14ac:dyDescent="0.3">
      <c r="A8" s="26" t="s">
        <v>67</v>
      </c>
      <c r="B8" s="29">
        <v>110</v>
      </c>
    </row>
    <row r="9" spans="1:2" ht="16.2" thickBot="1" x14ac:dyDescent="0.35">
      <c r="A9" s="27" t="s">
        <v>68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182</v>
      </c>
    </row>
    <row r="2" spans="1:3" x14ac:dyDescent="0.3">
      <c r="A2" s="3" t="s">
        <v>180</v>
      </c>
      <c r="B2" s="5" t="s">
        <v>65</v>
      </c>
      <c r="C2" s="25" t="s">
        <v>66</v>
      </c>
    </row>
    <row r="3" spans="1:3" x14ac:dyDescent="0.3">
      <c r="A3" s="26" t="s">
        <v>44</v>
      </c>
      <c r="B3" s="7">
        <v>3</v>
      </c>
      <c r="C3" s="29">
        <v>3.5</v>
      </c>
    </row>
    <row r="4" spans="1:3" x14ac:dyDescent="0.3">
      <c r="A4" s="26" t="s">
        <v>45</v>
      </c>
      <c r="B4" s="7">
        <v>2.5</v>
      </c>
      <c r="C4" s="29">
        <v>2</v>
      </c>
    </row>
    <row r="5" spans="1:3" x14ac:dyDescent="0.3">
      <c r="A5" s="26" t="s">
        <v>46</v>
      </c>
      <c r="B5" s="7">
        <v>3</v>
      </c>
      <c r="C5" s="29">
        <v>0.5</v>
      </c>
    </row>
    <row r="6" spans="1:3" x14ac:dyDescent="0.3">
      <c r="A6" s="51" t="s">
        <v>47</v>
      </c>
      <c r="B6" s="59">
        <v>3</v>
      </c>
      <c r="C6" s="62">
        <v>3.5</v>
      </c>
    </row>
    <row r="7" spans="1:3" ht="16.2" thickBot="1" x14ac:dyDescent="0.35">
      <c r="A7" s="27" t="s">
        <v>63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e">
        <f>_xlfn.CONCAT( "Table of Disposal Capacity Expansion Cost [",VLOOKUP("currency",#REF!, 2, FALSE),"/(", VLOOKUP("volume",#REF!, 2, FALSE),"/", VLOOKUP("time",#REF!, 2, FALSE),")]")</f>
        <v>#REF!</v>
      </c>
    </row>
    <row r="2" spans="1:5" s="6" customFormat="1" x14ac:dyDescent="0.3">
      <c r="A2" s="4" t="s">
        <v>181</v>
      </c>
      <c r="B2" s="5" t="s">
        <v>104</v>
      </c>
      <c r="C2" s="5" t="s">
        <v>105</v>
      </c>
      <c r="D2" s="5" t="s">
        <v>106</v>
      </c>
      <c r="E2" s="25" t="s">
        <v>107</v>
      </c>
    </row>
    <row r="3" spans="1:5" s="6" customFormat="1" x14ac:dyDescent="0.3">
      <c r="A3" s="26" t="s">
        <v>65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66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e">
        <f>_xlfn.CONCAT( "Table of Disposal Capacity Expansion Increments [",VLOOKUP("volume",#REF!, 2, FALSE),"/", VLOOKUP("time",#REF!, 2, FALSE),"]")</f>
        <v>#REF!</v>
      </c>
    </row>
    <row r="2" spans="1:5" x14ac:dyDescent="0.3">
      <c r="A2" s="4" t="s">
        <v>181</v>
      </c>
      <c r="B2" s="5" t="s">
        <v>104</v>
      </c>
      <c r="C2" s="5" t="s">
        <v>105</v>
      </c>
      <c r="D2" s="5" t="s">
        <v>106</v>
      </c>
      <c r="E2" s="25" t="s">
        <v>107</v>
      </c>
    </row>
    <row r="3" spans="1:5" x14ac:dyDescent="0.3">
      <c r="A3" s="26" t="s">
        <v>65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2" thickBot="1" x14ac:dyDescent="0.35">
      <c r="A4" s="27" t="s">
        <v>66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e">
        <f>_xlfn.CONCAT( "Table of Storage Capacity Expansion Cost [",VLOOKUP("currency",#REF!, 2, FALSE),"/", VLOOKUP("volume",#REF!, 2, FALSE),"]")</f>
        <v>#REF!</v>
      </c>
    </row>
    <row r="2" spans="1:5" s="6" customFormat="1" x14ac:dyDescent="0.3">
      <c r="A2" s="4" t="s">
        <v>122</v>
      </c>
      <c r="B2" s="5" t="s">
        <v>94</v>
      </c>
      <c r="C2" s="5" t="s">
        <v>95</v>
      </c>
      <c r="D2" s="5" t="s">
        <v>96</v>
      </c>
      <c r="E2" s="25" t="s">
        <v>97</v>
      </c>
    </row>
    <row r="3" spans="1:5" x14ac:dyDescent="0.3">
      <c r="A3" s="26" t="s">
        <v>70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216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217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71</v>
      </c>
    </row>
    <row r="2" spans="1:16" x14ac:dyDescent="0.3">
      <c r="A2" s="2" t="s">
        <v>72</v>
      </c>
    </row>
    <row r="3" spans="1:16" x14ac:dyDescent="0.3">
      <c r="A3" s="2" t="s">
        <v>73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e">
        <f>_xlfn.CONCAT( "Table of Storage Capacity Expansion Increments [",VLOOKUP("volume",#REF!, 2, FALSE),"]")</f>
        <v>#REF!</v>
      </c>
    </row>
    <row r="2" spans="1:2" x14ac:dyDescent="0.3">
      <c r="A2" s="4" t="s">
        <v>185</v>
      </c>
      <c r="B2" s="25" t="s">
        <v>43</v>
      </c>
    </row>
    <row r="3" spans="1:2" x14ac:dyDescent="0.3">
      <c r="A3" s="26" t="s">
        <v>94</v>
      </c>
      <c r="B3" s="35">
        <v>0</v>
      </c>
    </row>
    <row r="4" spans="1:2" x14ac:dyDescent="0.3">
      <c r="A4" s="26" t="s">
        <v>95</v>
      </c>
      <c r="B4" s="35">
        <v>50000</v>
      </c>
    </row>
    <row r="5" spans="1:2" x14ac:dyDescent="0.3">
      <c r="A5" s="26" t="s">
        <v>96</v>
      </c>
      <c r="B5" s="35">
        <v>100000</v>
      </c>
    </row>
    <row r="6" spans="1:2" ht="16.2" thickBot="1" x14ac:dyDescent="0.35">
      <c r="A6" s="27" t="s">
        <v>97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e">
        <f>_xlfn.CONCAT( "Table of Treatment Capacity Expansion Cost [",VLOOKUP("currency",#REF!, 2, FALSE),"/(", VLOOKUP("volume",#REF!, 2, FALSE),"/", VLOOKUP("time",#REF!, 2, FALSE),")]")</f>
        <v>#REF!</v>
      </c>
    </row>
    <row r="2" spans="1:6" x14ac:dyDescent="0.3">
      <c r="A2" s="4" t="s">
        <v>120</v>
      </c>
      <c r="B2" s="61" t="s">
        <v>183</v>
      </c>
      <c r="C2" s="5" t="s">
        <v>99</v>
      </c>
      <c r="D2" s="5" t="s">
        <v>100</v>
      </c>
      <c r="E2" s="5" t="s">
        <v>101</v>
      </c>
      <c r="F2" s="25" t="s">
        <v>102</v>
      </c>
    </row>
    <row r="3" spans="1:6" x14ac:dyDescent="0.3">
      <c r="A3" s="26" t="s">
        <v>72</v>
      </c>
      <c r="B3" s="57" t="s">
        <v>74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73</v>
      </c>
      <c r="B4" s="57" t="s">
        <v>74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72</v>
      </c>
      <c r="B5" s="57" t="s">
        <v>75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73</v>
      </c>
      <c r="B6" s="57" t="s">
        <v>75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72</v>
      </c>
      <c r="B7" s="57" t="s">
        <v>204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73</v>
      </c>
      <c r="B8" s="57" t="s">
        <v>204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72</v>
      </c>
      <c r="B9" s="57" t="s">
        <v>205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73</v>
      </c>
      <c r="B10" s="57" t="s">
        <v>205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72</v>
      </c>
      <c r="B11" s="57" t="s">
        <v>206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73</v>
      </c>
      <c r="B12" s="66" t="s">
        <v>206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e">
        <f>_xlfn.CONCAT( "Table of Treatment Capacity Expansion Increments [",VLOOKUP("volume",#REF!, 2, FALSE),"/", VLOOKUP("time",#REF!, 2, FALSE),"]")</f>
        <v>#REF!</v>
      </c>
    </row>
    <row r="2" spans="1:5" x14ac:dyDescent="0.3">
      <c r="A2" s="4" t="s">
        <v>186</v>
      </c>
      <c r="B2" s="5" t="s">
        <v>99</v>
      </c>
      <c r="C2" s="5" t="s">
        <v>100</v>
      </c>
      <c r="D2" s="5" t="s">
        <v>101</v>
      </c>
      <c r="E2" s="25" t="s">
        <v>102</v>
      </c>
    </row>
    <row r="3" spans="1:5" x14ac:dyDescent="0.3">
      <c r="A3" s="26" t="s">
        <v>74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75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204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205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206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55"/>
    </row>
    <row r="10" spans="1:5" x14ac:dyDescent="0.3">
      <c r="C10" s="55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e">
        <f>_xlfn.CONCAT( "Pipeline Expansion Cost [",VLOOKUP("currency",#REF!, 2, FALSE),"/(", VLOOKUP("diameter",#REF!, 2, FALSE),"-", VLOOKUP("distance",#REF!, 2, FALSE),")]")</f>
        <v>#REF!</v>
      </c>
    </row>
    <row r="2" spans="1:2" x14ac:dyDescent="0.3">
      <c r="A2" s="4" t="s">
        <v>42</v>
      </c>
      <c r="B2" s="25" t="s">
        <v>189</v>
      </c>
    </row>
    <row r="3" spans="1:2" ht="16.2" thickBot="1" x14ac:dyDescent="0.35">
      <c r="A3" s="27" t="s">
        <v>190</v>
      </c>
      <c r="B3" s="37">
        <v>300000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e">
        <f>_xlfn.CONCAT( "Table of Pipeline Expansion Distances [",VLOOKUP("distance",#REF!, 2, FALSE),"]")</f>
        <v>#REF!</v>
      </c>
    </row>
    <row r="2" spans="1:21" x14ac:dyDescent="0.3">
      <c r="A2" s="4" t="s">
        <v>180</v>
      </c>
      <c r="B2" s="5" t="s">
        <v>78</v>
      </c>
      <c r="C2" s="5" t="s">
        <v>79</v>
      </c>
      <c r="D2" s="5" t="s">
        <v>80</v>
      </c>
      <c r="E2" s="5" t="s">
        <v>81</v>
      </c>
      <c r="F2" s="5" t="s">
        <v>82</v>
      </c>
      <c r="G2" s="5" t="s">
        <v>83</v>
      </c>
      <c r="H2" s="5" t="s">
        <v>84</v>
      </c>
      <c r="I2" s="5" t="s">
        <v>85</v>
      </c>
      <c r="J2" s="61" t="s">
        <v>86</v>
      </c>
      <c r="K2" s="5" t="s">
        <v>65</v>
      </c>
      <c r="L2" s="61" t="s">
        <v>66</v>
      </c>
      <c r="M2" s="5" t="s">
        <v>72</v>
      </c>
      <c r="N2" s="61" t="s">
        <v>73</v>
      </c>
      <c r="O2" s="54" t="s">
        <v>70</v>
      </c>
      <c r="P2" s="5" t="s">
        <v>216</v>
      </c>
      <c r="Q2" s="61" t="s">
        <v>217</v>
      </c>
      <c r="R2" s="5" t="s">
        <v>218</v>
      </c>
      <c r="S2" s="5" t="s">
        <v>219</v>
      </c>
      <c r="T2" s="61" t="s">
        <v>220</v>
      </c>
      <c r="U2" s="25" t="s">
        <v>63</v>
      </c>
    </row>
    <row r="3" spans="1:21" x14ac:dyDescent="0.3">
      <c r="A3" s="26" t="s">
        <v>44</v>
      </c>
      <c r="B3" s="7">
        <v>1.4259999999999999</v>
      </c>
      <c r="C3" s="7" t="s">
        <v>191</v>
      </c>
      <c r="D3" s="7" t="s">
        <v>191</v>
      </c>
      <c r="E3" s="7" t="s">
        <v>191</v>
      </c>
      <c r="F3" s="7" t="s">
        <v>191</v>
      </c>
      <c r="G3" s="7" t="s">
        <v>191</v>
      </c>
      <c r="H3" s="7" t="s">
        <v>191</v>
      </c>
      <c r="I3" s="7" t="s">
        <v>191</v>
      </c>
      <c r="J3" s="58" t="s">
        <v>191</v>
      </c>
      <c r="K3" s="7" t="s">
        <v>191</v>
      </c>
      <c r="L3" s="58" t="s">
        <v>191</v>
      </c>
      <c r="M3" s="7" t="s">
        <v>191</v>
      </c>
      <c r="N3" s="58"/>
      <c r="O3" s="84" t="s">
        <v>191</v>
      </c>
      <c r="P3" s="7"/>
      <c r="Q3" s="58"/>
      <c r="R3" s="7"/>
      <c r="S3" s="7"/>
      <c r="T3" s="58"/>
      <c r="U3" s="29" t="s">
        <v>191</v>
      </c>
    </row>
    <row r="4" spans="1:21" x14ac:dyDescent="0.3">
      <c r="A4" s="26" t="s">
        <v>45</v>
      </c>
      <c r="B4" s="7" t="s">
        <v>191</v>
      </c>
      <c r="C4" s="7" t="s">
        <v>191</v>
      </c>
      <c r="D4" s="7" t="s">
        <v>191</v>
      </c>
      <c r="E4" s="7" t="s">
        <v>191</v>
      </c>
      <c r="F4" s="7">
        <v>1.6847000000000001</v>
      </c>
      <c r="G4" s="7" t="s">
        <v>191</v>
      </c>
      <c r="H4" s="7" t="s">
        <v>191</v>
      </c>
      <c r="I4" s="7" t="s">
        <v>191</v>
      </c>
      <c r="J4" s="58" t="s">
        <v>191</v>
      </c>
      <c r="K4" s="7" t="s">
        <v>191</v>
      </c>
      <c r="L4" s="58" t="s">
        <v>191</v>
      </c>
      <c r="M4" s="7" t="s">
        <v>191</v>
      </c>
      <c r="N4" s="58"/>
      <c r="O4" s="84" t="s">
        <v>191</v>
      </c>
      <c r="P4" s="7"/>
      <c r="Q4" s="58"/>
      <c r="R4" s="7"/>
      <c r="S4" s="7"/>
      <c r="T4" s="58"/>
      <c r="U4" s="29" t="s">
        <v>191</v>
      </c>
    </row>
    <row r="5" spans="1:21" x14ac:dyDescent="0.3">
      <c r="A5" s="26" t="s">
        <v>46</v>
      </c>
      <c r="B5" s="7" t="s">
        <v>191</v>
      </c>
      <c r="C5" s="7" t="s">
        <v>191</v>
      </c>
      <c r="D5" s="7" t="s">
        <v>191</v>
      </c>
      <c r="E5" s="7" t="s">
        <v>191</v>
      </c>
      <c r="F5" s="7" t="s">
        <v>191</v>
      </c>
      <c r="G5" s="7">
        <v>1.2563</v>
      </c>
      <c r="H5" s="7" t="s">
        <v>191</v>
      </c>
      <c r="I5" s="7" t="s">
        <v>191</v>
      </c>
      <c r="J5" s="58" t="s">
        <v>191</v>
      </c>
      <c r="K5" s="7" t="s">
        <v>191</v>
      </c>
      <c r="L5" s="58" t="s">
        <v>191</v>
      </c>
      <c r="M5" s="7" t="s">
        <v>191</v>
      </c>
      <c r="N5" s="58"/>
      <c r="O5" s="84" t="s">
        <v>191</v>
      </c>
      <c r="P5" s="7"/>
      <c r="Q5" s="58"/>
      <c r="R5" s="7"/>
      <c r="S5" s="7"/>
      <c r="T5" s="58"/>
      <c r="U5" s="29" t="s">
        <v>191</v>
      </c>
    </row>
    <row r="6" spans="1:21" x14ac:dyDescent="0.3">
      <c r="A6" s="51" t="s">
        <v>47</v>
      </c>
      <c r="B6" s="59" t="s">
        <v>191</v>
      </c>
      <c r="C6" s="59" t="s">
        <v>191</v>
      </c>
      <c r="D6" s="59" t="s">
        <v>191</v>
      </c>
      <c r="E6" s="59" t="s">
        <v>191</v>
      </c>
      <c r="F6" s="59" t="s">
        <v>191</v>
      </c>
      <c r="G6" s="59" t="s">
        <v>191</v>
      </c>
      <c r="H6" s="59" t="s">
        <v>191</v>
      </c>
      <c r="I6" s="59" t="s">
        <v>191</v>
      </c>
      <c r="J6" s="60">
        <v>2.5074000000000001</v>
      </c>
      <c r="K6" s="59" t="s">
        <v>191</v>
      </c>
      <c r="L6" s="60" t="s">
        <v>191</v>
      </c>
      <c r="M6" s="59" t="s">
        <v>191</v>
      </c>
      <c r="N6" s="60"/>
      <c r="O6" s="92" t="s">
        <v>191</v>
      </c>
      <c r="P6" s="59"/>
      <c r="Q6" s="60"/>
      <c r="R6" s="59"/>
      <c r="S6" s="59"/>
      <c r="T6" s="60"/>
      <c r="U6" s="62" t="s">
        <v>191</v>
      </c>
    </row>
    <row r="7" spans="1:21" x14ac:dyDescent="0.3">
      <c r="A7" s="71" t="s">
        <v>63</v>
      </c>
      <c r="B7" s="73" t="s">
        <v>191</v>
      </c>
      <c r="C7" s="73" t="s">
        <v>191</v>
      </c>
      <c r="D7" s="73"/>
      <c r="E7" s="73" t="s">
        <v>191</v>
      </c>
      <c r="F7" s="73" t="s">
        <v>191</v>
      </c>
      <c r="G7" s="73" t="s">
        <v>191</v>
      </c>
      <c r="H7" s="73" t="s">
        <v>191</v>
      </c>
      <c r="I7" s="73">
        <f>2*F4</f>
        <v>3.3694000000000002</v>
      </c>
      <c r="J7" s="60" t="s">
        <v>191</v>
      </c>
      <c r="K7" s="74" t="s">
        <v>191</v>
      </c>
      <c r="L7" s="77" t="s">
        <v>191</v>
      </c>
      <c r="M7" s="73"/>
      <c r="N7" s="76"/>
      <c r="O7" s="96" t="s">
        <v>191</v>
      </c>
      <c r="P7" s="73"/>
      <c r="Q7" s="76"/>
      <c r="R7" s="73"/>
      <c r="S7" s="73"/>
      <c r="T7" s="76"/>
      <c r="U7" s="75" t="s">
        <v>191</v>
      </c>
    </row>
    <row r="8" spans="1:21" x14ac:dyDescent="0.3">
      <c r="A8" s="26" t="s">
        <v>78</v>
      </c>
      <c r="B8" s="97" t="s">
        <v>191</v>
      </c>
      <c r="C8" s="97">
        <v>4.0752409775985399</v>
      </c>
      <c r="D8" s="7" t="s">
        <v>191</v>
      </c>
      <c r="E8" s="7" t="s">
        <v>191</v>
      </c>
      <c r="F8" s="7" t="s">
        <v>191</v>
      </c>
      <c r="G8" s="7" t="s">
        <v>191</v>
      </c>
      <c r="H8" s="7" t="s">
        <v>191</v>
      </c>
      <c r="I8" s="7" t="s">
        <v>191</v>
      </c>
      <c r="J8" s="58" t="s">
        <v>191</v>
      </c>
      <c r="K8" s="97">
        <v>4.1717000000000004</v>
      </c>
      <c r="L8" s="58" t="s">
        <v>191</v>
      </c>
      <c r="M8" s="7" t="s">
        <v>191</v>
      </c>
      <c r="N8" s="58"/>
      <c r="O8" s="84"/>
      <c r="P8" s="7"/>
      <c r="Q8" s="58"/>
      <c r="R8" s="7"/>
      <c r="S8" s="7"/>
      <c r="T8" s="58"/>
      <c r="U8" s="29"/>
    </row>
    <row r="9" spans="1:21" x14ac:dyDescent="0.3">
      <c r="A9" s="26" t="s">
        <v>79</v>
      </c>
      <c r="B9" s="97">
        <v>4.0752409775985399</v>
      </c>
      <c r="C9" s="97" t="s">
        <v>191</v>
      </c>
      <c r="D9" s="7">
        <v>8.2970000000000006</v>
      </c>
      <c r="E9" s="7" t="s">
        <v>191</v>
      </c>
      <c r="F9" s="7">
        <v>1.8142</v>
      </c>
      <c r="G9" s="7" t="s">
        <v>191</v>
      </c>
      <c r="H9" s="7" t="s">
        <v>191</v>
      </c>
      <c r="I9" s="7" t="s">
        <v>191</v>
      </c>
      <c r="J9" s="58" t="s">
        <v>191</v>
      </c>
      <c r="K9" s="7" t="s">
        <v>191</v>
      </c>
      <c r="L9" s="58" t="s">
        <v>191</v>
      </c>
      <c r="M9" s="7" t="s">
        <v>191</v>
      </c>
      <c r="N9" s="58"/>
      <c r="O9" s="84"/>
      <c r="P9" s="7"/>
      <c r="Q9" s="58"/>
      <c r="R9" s="7"/>
      <c r="S9" s="7"/>
      <c r="T9" s="58"/>
      <c r="U9" s="29"/>
    </row>
    <row r="10" spans="1:21" x14ac:dyDescent="0.3">
      <c r="A10" s="26" t="s">
        <v>80</v>
      </c>
      <c r="B10" s="7" t="s">
        <v>191</v>
      </c>
      <c r="C10" s="7">
        <v>8.2970000000000006</v>
      </c>
      <c r="D10" s="7" t="s">
        <v>191</v>
      </c>
      <c r="E10" s="7">
        <v>8.3129999999999988</v>
      </c>
      <c r="F10" s="7" t="s">
        <v>191</v>
      </c>
      <c r="G10" s="7" t="s">
        <v>191</v>
      </c>
      <c r="H10" s="7" t="s">
        <v>191</v>
      </c>
      <c r="I10" s="7" t="s">
        <v>191</v>
      </c>
      <c r="J10" s="58" t="s">
        <v>191</v>
      </c>
      <c r="K10" s="7" t="s">
        <v>191</v>
      </c>
      <c r="L10" s="58" t="s">
        <v>191</v>
      </c>
      <c r="M10" s="7">
        <v>1.4</v>
      </c>
      <c r="N10" s="58"/>
      <c r="O10" s="84"/>
      <c r="P10" s="7"/>
      <c r="Q10" s="58"/>
      <c r="R10" s="7"/>
      <c r="S10" s="7"/>
      <c r="T10" s="58"/>
      <c r="U10" s="29"/>
    </row>
    <row r="11" spans="1:21" x14ac:dyDescent="0.3">
      <c r="A11" s="26" t="s">
        <v>81</v>
      </c>
      <c r="B11" s="7" t="s">
        <v>191</v>
      </c>
      <c r="C11" s="7" t="s">
        <v>191</v>
      </c>
      <c r="D11" s="7">
        <v>8.3129999999999988</v>
      </c>
      <c r="E11" s="7" t="s">
        <v>191</v>
      </c>
      <c r="F11" s="7" t="s">
        <v>191</v>
      </c>
      <c r="G11" s="7">
        <v>1.2533000000000001</v>
      </c>
      <c r="H11" s="7" t="s">
        <v>191</v>
      </c>
      <c r="I11" s="7" t="s">
        <v>191</v>
      </c>
      <c r="J11" s="58" t="s">
        <v>191</v>
      </c>
      <c r="K11" s="7" t="s">
        <v>191</v>
      </c>
      <c r="L11" s="58">
        <v>1.3163</v>
      </c>
      <c r="M11" s="7" t="s">
        <v>191</v>
      </c>
      <c r="N11" s="58"/>
      <c r="O11" s="84"/>
      <c r="P11" s="7"/>
      <c r="Q11" s="58"/>
      <c r="R11" s="7"/>
      <c r="S11" s="7"/>
      <c r="T11" s="58"/>
      <c r="U11" s="29"/>
    </row>
    <row r="12" spans="1:21" x14ac:dyDescent="0.3">
      <c r="A12" s="26" t="s">
        <v>82</v>
      </c>
      <c r="B12" s="7" t="s">
        <v>191</v>
      </c>
      <c r="C12" s="97">
        <v>1.8142</v>
      </c>
      <c r="D12" s="7" t="s">
        <v>191</v>
      </c>
      <c r="E12" s="7" t="s">
        <v>191</v>
      </c>
      <c r="F12" s="7" t="s">
        <v>191</v>
      </c>
      <c r="G12" s="7" t="s">
        <v>191</v>
      </c>
      <c r="H12" s="7" t="s">
        <v>191</v>
      </c>
      <c r="I12" s="7">
        <v>1.4431</v>
      </c>
      <c r="J12" s="58" t="s">
        <v>191</v>
      </c>
      <c r="K12" s="7" t="s">
        <v>191</v>
      </c>
      <c r="L12" s="58" t="s">
        <v>191</v>
      </c>
      <c r="M12" s="7" t="s">
        <v>191</v>
      </c>
      <c r="N12" s="58"/>
      <c r="O12" s="84"/>
      <c r="P12" s="7"/>
      <c r="Q12" s="58"/>
      <c r="R12" s="7"/>
      <c r="S12" s="7"/>
      <c r="T12" s="58"/>
      <c r="U12" s="29"/>
    </row>
    <row r="13" spans="1:21" x14ac:dyDescent="0.3">
      <c r="A13" s="26" t="s">
        <v>83</v>
      </c>
      <c r="B13" s="7" t="s">
        <v>191</v>
      </c>
      <c r="C13" s="7" t="s">
        <v>191</v>
      </c>
      <c r="D13" s="7" t="s">
        <v>191</v>
      </c>
      <c r="E13" s="7">
        <v>1.2533000000000001</v>
      </c>
      <c r="F13" s="7" t="s">
        <v>191</v>
      </c>
      <c r="G13" s="7" t="s">
        <v>191</v>
      </c>
      <c r="H13" s="7">
        <v>1.153</v>
      </c>
      <c r="I13" s="7" t="s">
        <v>191</v>
      </c>
      <c r="J13" s="58" t="s">
        <v>191</v>
      </c>
      <c r="K13" s="7" t="s">
        <v>191</v>
      </c>
      <c r="L13" s="58" t="s">
        <v>191</v>
      </c>
      <c r="M13" s="7" t="s">
        <v>191</v>
      </c>
      <c r="N13" s="58"/>
      <c r="O13" s="84"/>
      <c r="P13" s="7"/>
      <c r="Q13" s="58"/>
      <c r="R13" s="7"/>
      <c r="S13" s="7"/>
      <c r="T13" s="58"/>
      <c r="U13" s="29"/>
    </row>
    <row r="14" spans="1:21" x14ac:dyDescent="0.3">
      <c r="A14" s="26" t="s">
        <v>84</v>
      </c>
      <c r="B14" s="7" t="s">
        <v>191</v>
      </c>
      <c r="C14" s="7" t="s">
        <v>191</v>
      </c>
      <c r="D14" s="7" t="s">
        <v>191</v>
      </c>
      <c r="E14" s="7" t="s">
        <v>191</v>
      </c>
      <c r="F14" s="7" t="s">
        <v>191</v>
      </c>
      <c r="G14" s="7">
        <v>1.153</v>
      </c>
      <c r="H14" s="7" t="s">
        <v>191</v>
      </c>
      <c r="I14" s="7">
        <v>6.0780000000000003</v>
      </c>
      <c r="J14" s="58">
        <v>2.4449000000000001</v>
      </c>
      <c r="K14" s="7" t="s">
        <v>191</v>
      </c>
      <c r="L14" s="58" t="s">
        <v>191</v>
      </c>
      <c r="M14" s="7" t="s">
        <v>191</v>
      </c>
      <c r="N14" s="58"/>
      <c r="O14" s="84"/>
      <c r="P14" s="7"/>
      <c r="Q14" s="58"/>
      <c r="R14" s="7"/>
      <c r="S14" s="7"/>
      <c r="T14" s="58"/>
      <c r="U14" s="29"/>
    </row>
    <row r="15" spans="1:21" x14ac:dyDescent="0.3">
      <c r="A15" s="26" t="s">
        <v>85</v>
      </c>
      <c r="B15" s="7" t="s">
        <v>191</v>
      </c>
      <c r="C15" s="7" t="s">
        <v>191</v>
      </c>
      <c r="D15" s="7" t="s">
        <v>191</v>
      </c>
      <c r="E15" s="7" t="s">
        <v>191</v>
      </c>
      <c r="F15" s="7">
        <v>1.4431</v>
      </c>
      <c r="G15" s="7" t="s">
        <v>191</v>
      </c>
      <c r="H15" s="7">
        <v>6.0780000000000003</v>
      </c>
      <c r="I15" s="7" t="s">
        <v>191</v>
      </c>
      <c r="J15" s="58" t="s">
        <v>191</v>
      </c>
      <c r="K15" s="7" t="s">
        <v>191</v>
      </c>
      <c r="L15" s="58" t="s">
        <v>191</v>
      </c>
      <c r="M15" s="7"/>
      <c r="N15" s="58"/>
      <c r="O15" s="84"/>
      <c r="P15" s="7"/>
      <c r="Q15" s="58"/>
      <c r="R15" s="7"/>
      <c r="S15" s="7"/>
      <c r="T15" s="58"/>
      <c r="U15" s="29"/>
    </row>
    <row r="16" spans="1:21" x14ac:dyDescent="0.3">
      <c r="A16" s="26" t="s">
        <v>86</v>
      </c>
      <c r="B16" s="7" t="s">
        <v>191</v>
      </c>
      <c r="C16" s="7" t="s">
        <v>191</v>
      </c>
      <c r="D16" s="7" t="s">
        <v>191</v>
      </c>
      <c r="E16" s="7" t="s">
        <v>191</v>
      </c>
      <c r="F16" s="7" t="s">
        <v>191</v>
      </c>
      <c r="G16" s="7" t="s">
        <v>191</v>
      </c>
      <c r="H16" s="7">
        <v>2.4449000000000001</v>
      </c>
      <c r="I16" s="7" t="s">
        <v>191</v>
      </c>
      <c r="J16" s="58" t="s">
        <v>191</v>
      </c>
      <c r="K16" s="7" t="s">
        <v>191</v>
      </c>
      <c r="L16" s="58" t="s">
        <v>191</v>
      </c>
      <c r="M16" s="7" t="s">
        <v>191</v>
      </c>
      <c r="N16" s="58">
        <v>2.5</v>
      </c>
      <c r="O16" s="84"/>
      <c r="P16" s="7"/>
      <c r="Q16" s="58"/>
      <c r="R16" s="7"/>
      <c r="S16" s="7"/>
      <c r="T16" s="58"/>
      <c r="U16" s="29"/>
    </row>
    <row r="17" spans="1:21" x14ac:dyDescent="0.3">
      <c r="A17" s="47" t="s">
        <v>70</v>
      </c>
      <c r="B17" s="94"/>
      <c r="C17" s="94"/>
      <c r="D17" s="94"/>
      <c r="E17" s="94"/>
      <c r="F17" s="94"/>
      <c r="G17" s="94"/>
      <c r="H17" s="94"/>
      <c r="I17" s="94"/>
      <c r="J17" s="91"/>
      <c r="K17" s="94"/>
      <c r="L17" s="91"/>
      <c r="M17" s="94"/>
      <c r="N17" s="91"/>
      <c r="O17" s="93"/>
      <c r="P17" s="94"/>
      <c r="Q17" s="91"/>
      <c r="R17" s="94"/>
      <c r="S17" s="94"/>
      <c r="T17" s="91"/>
      <c r="U17" s="95">
        <v>9</v>
      </c>
    </row>
    <row r="18" spans="1:21" x14ac:dyDescent="0.3">
      <c r="A18" s="26" t="s">
        <v>216</v>
      </c>
      <c r="B18" s="7"/>
      <c r="C18" s="7"/>
      <c r="D18" s="7"/>
      <c r="E18" s="7"/>
      <c r="F18" s="7"/>
      <c r="G18" s="7"/>
      <c r="H18" s="7"/>
      <c r="I18" s="7"/>
      <c r="J18" s="58"/>
      <c r="K18" s="7"/>
      <c r="L18" s="58"/>
      <c r="M18" s="7"/>
      <c r="N18" s="58"/>
      <c r="O18" s="7"/>
      <c r="P18" s="7"/>
      <c r="Q18" s="58"/>
      <c r="R18" s="7">
        <v>7</v>
      </c>
      <c r="S18" s="7">
        <v>7</v>
      </c>
      <c r="T18" s="58"/>
      <c r="U18" s="29"/>
    </row>
    <row r="19" spans="1:21" x14ac:dyDescent="0.3">
      <c r="A19" s="51" t="s">
        <v>217</v>
      </c>
      <c r="B19" s="59"/>
      <c r="C19" s="59"/>
      <c r="D19" s="59"/>
      <c r="E19" s="59"/>
      <c r="F19" s="59"/>
      <c r="G19" s="59"/>
      <c r="H19" s="59"/>
      <c r="I19" s="59"/>
      <c r="J19" s="60"/>
      <c r="K19" s="59"/>
      <c r="L19" s="60"/>
      <c r="M19" s="59"/>
      <c r="N19" s="60"/>
      <c r="O19" s="59"/>
      <c r="P19" s="59"/>
      <c r="Q19" s="60"/>
      <c r="R19" s="59"/>
      <c r="S19" s="59"/>
      <c r="T19" s="60">
        <v>2</v>
      </c>
      <c r="U19" s="62"/>
    </row>
    <row r="20" spans="1:21" x14ac:dyDescent="0.3">
      <c r="A20" s="26" t="s">
        <v>67</v>
      </c>
      <c r="B20" s="7" t="s">
        <v>191</v>
      </c>
      <c r="C20" s="7" t="s">
        <v>191</v>
      </c>
      <c r="D20" s="7" t="s">
        <v>191</v>
      </c>
      <c r="E20" s="7" t="s">
        <v>191</v>
      </c>
      <c r="F20" s="7" t="s">
        <v>191</v>
      </c>
      <c r="G20" s="7" t="s">
        <v>191</v>
      </c>
      <c r="H20" s="7" t="s">
        <v>191</v>
      </c>
      <c r="I20" s="7" t="s">
        <v>191</v>
      </c>
      <c r="J20" s="58" t="s">
        <v>191</v>
      </c>
      <c r="K20" s="7" t="s">
        <v>191</v>
      </c>
      <c r="L20" s="58" t="s">
        <v>191</v>
      </c>
      <c r="M20" s="7" t="s">
        <v>191</v>
      </c>
      <c r="N20" s="58"/>
      <c r="O20" s="84" t="s">
        <v>191</v>
      </c>
      <c r="P20" s="7"/>
      <c r="Q20" s="58"/>
      <c r="R20" s="7"/>
      <c r="S20" s="7"/>
      <c r="T20" s="58"/>
      <c r="U20" s="29">
        <v>2.6</v>
      </c>
    </row>
    <row r="21" spans="1:21" x14ac:dyDescent="0.3">
      <c r="A21" s="51" t="s">
        <v>68</v>
      </c>
      <c r="B21" s="59" t="s">
        <v>191</v>
      </c>
      <c r="C21" s="59" t="s">
        <v>191</v>
      </c>
      <c r="D21" s="59" t="s">
        <v>191</v>
      </c>
      <c r="E21" s="59" t="s">
        <v>191</v>
      </c>
      <c r="F21" s="59" t="s">
        <v>191</v>
      </c>
      <c r="G21" s="59" t="s">
        <v>191</v>
      </c>
      <c r="H21" s="59" t="s">
        <v>191</v>
      </c>
      <c r="I21" s="59" t="s">
        <v>191</v>
      </c>
      <c r="J21" s="60" t="s">
        <v>191</v>
      </c>
      <c r="K21" s="59" t="s">
        <v>191</v>
      </c>
      <c r="L21" s="60" t="s">
        <v>191</v>
      </c>
      <c r="M21" s="59" t="s">
        <v>191</v>
      </c>
      <c r="N21" s="60"/>
      <c r="O21" s="92" t="s">
        <v>191</v>
      </c>
      <c r="P21" s="59"/>
      <c r="Q21" s="60"/>
      <c r="R21" s="59"/>
      <c r="S21" s="59"/>
      <c r="T21" s="60"/>
      <c r="U21" s="62">
        <v>2.6</v>
      </c>
    </row>
    <row r="22" spans="1:21" x14ac:dyDescent="0.3">
      <c r="A22" s="26" t="s">
        <v>72</v>
      </c>
      <c r="B22" s="7" t="s">
        <v>191</v>
      </c>
      <c r="C22" s="7" t="s">
        <v>191</v>
      </c>
      <c r="D22" s="7"/>
      <c r="E22" s="7" t="s">
        <v>191</v>
      </c>
      <c r="F22" s="7" t="s">
        <v>191</v>
      </c>
      <c r="G22" s="7" t="s">
        <v>191</v>
      </c>
      <c r="H22" s="7" t="s">
        <v>191</v>
      </c>
      <c r="I22" s="7"/>
      <c r="J22" s="58" t="s">
        <v>191</v>
      </c>
      <c r="K22" s="7" t="s">
        <v>191</v>
      </c>
      <c r="L22" s="58" t="s">
        <v>191</v>
      </c>
      <c r="M22" s="7" t="s">
        <v>191</v>
      </c>
      <c r="N22" s="58"/>
      <c r="O22" s="84" t="s">
        <v>191</v>
      </c>
      <c r="P22" s="7">
        <v>2</v>
      </c>
      <c r="Q22" s="58">
        <v>2</v>
      </c>
      <c r="R22" s="7">
        <v>9.8000000000000007</v>
      </c>
      <c r="S22" s="7">
        <v>9.8000000000000007</v>
      </c>
      <c r="T22" s="58">
        <v>2</v>
      </c>
      <c r="U22" s="29"/>
    </row>
    <row r="23" spans="1:21" ht="16.2" thickBot="1" x14ac:dyDescent="0.35">
      <c r="A23" s="27" t="s">
        <v>73</v>
      </c>
      <c r="B23" s="8" t="s">
        <v>191</v>
      </c>
      <c r="C23" s="8" t="s">
        <v>191</v>
      </c>
      <c r="D23" s="8"/>
      <c r="E23" s="8" t="s">
        <v>191</v>
      </c>
      <c r="F23" s="8" t="s">
        <v>191</v>
      </c>
      <c r="G23" s="8" t="s">
        <v>191</v>
      </c>
      <c r="H23" s="8" t="s">
        <v>191</v>
      </c>
      <c r="I23" s="8" t="s">
        <v>191</v>
      </c>
      <c r="J23" s="63"/>
      <c r="K23" s="8" t="s">
        <v>191</v>
      </c>
      <c r="L23" s="63" t="s">
        <v>191</v>
      </c>
      <c r="M23" s="8" t="s">
        <v>191</v>
      </c>
      <c r="N23" s="63"/>
      <c r="O23" s="85">
        <v>0.1</v>
      </c>
      <c r="P23" s="8"/>
      <c r="Q23" s="63"/>
      <c r="R23" s="8"/>
      <c r="S23" s="8"/>
      <c r="T23" s="63"/>
      <c r="U23" s="9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abSelected="1" workbookViewId="0">
      <selection activeCell="H6" sqref="H6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e">
        <f>_xlfn.CONCAT( "Table of Pipeline Capacity Expansion Increments [",VLOOKUP("volume",#REF!, 2, FALSE),"/", VLOOKUP("time",#REF!, 2, FALSE),"]")</f>
        <v>#REF!</v>
      </c>
    </row>
    <row r="2" spans="1:2" x14ac:dyDescent="0.3">
      <c r="A2" s="4" t="s">
        <v>184</v>
      </c>
      <c r="B2" s="25" t="s">
        <v>43</v>
      </c>
    </row>
    <row r="3" spans="1:2" x14ac:dyDescent="0.3">
      <c r="A3" s="26" t="s">
        <v>88</v>
      </c>
      <c r="B3" s="35">
        <v>0</v>
      </c>
    </row>
    <row r="4" spans="1:2" x14ac:dyDescent="0.3">
      <c r="A4" s="26" t="s">
        <v>89</v>
      </c>
      <c r="B4" s="35">
        <v>14285.714285714286</v>
      </c>
    </row>
    <row r="5" spans="1:2" x14ac:dyDescent="0.3">
      <c r="A5" s="26" t="s">
        <v>90</v>
      </c>
      <c r="B5" s="35">
        <v>35714.285714285717</v>
      </c>
    </row>
    <row r="6" spans="1:2" x14ac:dyDescent="0.3">
      <c r="A6" s="26" t="s">
        <v>91</v>
      </c>
      <c r="B6" s="35">
        <v>42857.142857142855</v>
      </c>
    </row>
    <row r="7" spans="1:2" ht="16.2" thickBot="1" x14ac:dyDescent="0.35">
      <c r="A7" s="27" t="s">
        <v>92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e">
        <f>_xlfn.CONCAT( "Table of Pipeline Diameters [",VLOOKUP("diameter",#REF!, 2, FALSE),"]")</f>
        <v>#REF!</v>
      </c>
    </row>
    <row r="2" spans="1:2" x14ac:dyDescent="0.3">
      <c r="A2" s="4" t="s">
        <v>184</v>
      </c>
      <c r="B2" s="25" t="s">
        <v>43</v>
      </c>
    </row>
    <row r="3" spans="1:2" x14ac:dyDescent="0.3">
      <c r="A3" s="26" t="s">
        <v>88</v>
      </c>
      <c r="B3" s="35">
        <v>0</v>
      </c>
    </row>
    <row r="4" spans="1:2" x14ac:dyDescent="0.3">
      <c r="A4" s="26" t="s">
        <v>89</v>
      </c>
      <c r="B4" s="35">
        <v>4</v>
      </c>
    </row>
    <row r="5" spans="1:2" x14ac:dyDescent="0.3">
      <c r="A5" s="26" t="s">
        <v>90</v>
      </c>
      <c r="B5" s="35">
        <v>6</v>
      </c>
    </row>
    <row r="6" spans="1:2" x14ac:dyDescent="0.3">
      <c r="A6" s="26" t="s">
        <v>91</v>
      </c>
      <c r="B6" s="35">
        <v>8</v>
      </c>
    </row>
    <row r="7" spans="1:2" ht="16.2" thickBot="1" x14ac:dyDescent="0.35">
      <c r="A7" s="27" t="s">
        <v>92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187</v>
      </c>
    </row>
    <row r="2" spans="1:3" x14ac:dyDescent="0.3">
      <c r="A2" s="4" t="s">
        <v>120</v>
      </c>
      <c r="B2" s="67" t="s">
        <v>183</v>
      </c>
      <c r="C2" s="25" t="s">
        <v>43</v>
      </c>
    </row>
    <row r="3" spans="1:3" x14ac:dyDescent="0.3">
      <c r="A3" s="26" t="s">
        <v>72</v>
      </c>
      <c r="B3" s="65" t="s">
        <v>74</v>
      </c>
      <c r="C3" s="29">
        <v>0.95</v>
      </c>
    </row>
    <row r="4" spans="1:3" x14ac:dyDescent="0.3">
      <c r="A4" s="26" t="s">
        <v>73</v>
      </c>
      <c r="B4" s="65" t="s">
        <v>74</v>
      </c>
      <c r="C4" s="29">
        <v>0.95</v>
      </c>
    </row>
    <row r="5" spans="1:3" x14ac:dyDescent="0.3">
      <c r="A5" s="26" t="s">
        <v>72</v>
      </c>
      <c r="B5" s="65" t="s">
        <v>75</v>
      </c>
      <c r="C5" s="29">
        <v>0.95</v>
      </c>
    </row>
    <row r="6" spans="1:3" x14ac:dyDescent="0.3">
      <c r="A6" s="26" t="s">
        <v>73</v>
      </c>
      <c r="B6" s="65" t="s">
        <v>75</v>
      </c>
      <c r="C6" s="29">
        <v>0.95</v>
      </c>
    </row>
    <row r="7" spans="1:3" x14ac:dyDescent="0.3">
      <c r="A7" s="26" t="s">
        <v>72</v>
      </c>
      <c r="B7" s="65" t="s">
        <v>204</v>
      </c>
      <c r="C7" s="29">
        <v>0.5</v>
      </c>
    </row>
    <row r="8" spans="1:3" x14ac:dyDescent="0.3">
      <c r="A8" s="26" t="s">
        <v>73</v>
      </c>
      <c r="B8" s="65" t="s">
        <v>204</v>
      </c>
      <c r="C8" s="29">
        <v>0.5</v>
      </c>
    </row>
    <row r="9" spans="1:3" x14ac:dyDescent="0.3">
      <c r="A9" s="26" t="s">
        <v>72</v>
      </c>
      <c r="B9" s="65" t="s">
        <v>205</v>
      </c>
      <c r="C9" s="29">
        <v>0.5</v>
      </c>
    </row>
    <row r="10" spans="1:3" x14ac:dyDescent="0.3">
      <c r="A10" s="26" t="s">
        <v>73</v>
      </c>
      <c r="B10" s="65" t="s">
        <v>205</v>
      </c>
      <c r="C10" s="29">
        <v>0.5</v>
      </c>
    </row>
    <row r="11" spans="1:3" x14ac:dyDescent="0.3">
      <c r="A11" s="26" t="s">
        <v>72</v>
      </c>
      <c r="B11" s="65" t="s">
        <v>206</v>
      </c>
      <c r="C11" s="29">
        <v>0.5</v>
      </c>
    </row>
    <row r="12" spans="1:3" ht="16.2" thickBot="1" x14ac:dyDescent="0.35">
      <c r="A12" s="27" t="s">
        <v>73</v>
      </c>
      <c r="B12" s="68" t="s">
        <v>206</v>
      </c>
      <c r="C12" s="9">
        <v>0.5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207</v>
      </c>
    </row>
    <row r="2" spans="1:3" x14ac:dyDescent="0.3">
      <c r="A2" s="4" t="s">
        <v>120</v>
      </c>
      <c r="B2" s="67" t="s">
        <v>183</v>
      </c>
      <c r="C2" s="25" t="s">
        <v>188</v>
      </c>
    </row>
    <row r="3" spans="1:3" x14ac:dyDescent="0.3">
      <c r="A3" s="26" t="s">
        <v>72</v>
      </c>
      <c r="B3" s="65" t="s">
        <v>74</v>
      </c>
      <c r="C3" s="29">
        <v>0</v>
      </c>
    </row>
    <row r="4" spans="1:3" x14ac:dyDescent="0.3">
      <c r="A4" s="26" t="s">
        <v>73</v>
      </c>
      <c r="B4" s="65" t="s">
        <v>74</v>
      </c>
      <c r="C4" s="29">
        <v>0</v>
      </c>
    </row>
    <row r="5" spans="1:3" x14ac:dyDescent="0.3">
      <c r="A5" s="26" t="s">
        <v>72</v>
      </c>
      <c r="B5" s="65" t="s">
        <v>75</v>
      </c>
      <c r="C5" s="29">
        <v>0</v>
      </c>
    </row>
    <row r="6" spans="1:3" x14ac:dyDescent="0.3">
      <c r="A6" s="26" t="s">
        <v>73</v>
      </c>
      <c r="B6" s="65" t="s">
        <v>75</v>
      </c>
      <c r="C6" s="29">
        <v>0</v>
      </c>
    </row>
    <row r="7" spans="1:3" x14ac:dyDescent="0.3">
      <c r="A7" s="26" t="s">
        <v>72</v>
      </c>
      <c r="B7" s="65" t="s">
        <v>204</v>
      </c>
      <c r="C7" s="29">
        <v>0.99</v>
      </c>
    </row>
    <row r="8" spans="1:3" x14ac:dyDescent="0.3">
      <c r="A8" s="26" t="s">
        <v>73</v>
      </c>
      <c r="B8" s="65" t="s">
        <v>204</v>
      </c>
      <c r="C8" s="29">
        <v>0.99</v>
      </c>
    </row>
    <row r="9" spans="1:3" x14ac:dyDescent="0.3">
      <c r="A9" s="26" t="s">
        <v>72</v>
      </c>
      <c r="B9" s="65" t="s">
        <v>205</v>
      </c>
      <c r="C9" s="29">
        <v>0.99</v>
      </c>
    </row>
    <row r="10" spans="1:3" x14ac:dyDescent="0.3">
      <c r="A10" s="26" t="s">
        <v>73</v>
      </c>
      <c r="B10" s="65" t="s">
        <v>205</v>
      </c>
      <c r="C10" s="29">
        <v>0.99</v>
      </c>
    </row>
    <row r="11" spans="1:3" x14ac:dyDescent="0.3">
      <c r="A11" s="26" t="s">
        <v>72</v>
      </c>
      <c r="B11" s="65" t="s">
        <v>206</v>
      </c>
      <c r="C11" s="29">
        <v>0.99</v>
      </c>
    </row>
    <row r="12" spans="1:3" ht="16.2" thickBot="1" x14ac:dyDescent="0.35">
      <c r="A12" s="27" t="s">
        <v>73</v>
      </c>
      <c r="B12" s="68" t="s">
        <v>206</v>
      </c>
      <c r="C12" s="70">
        <v>0.99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203</v>
      </c>
    </row>
    <row r="2" spans="1:2" x14ac:dyDescent="0.3">
      <c r="A2" s="4" t="s">
        <v>183</v>
      </c>
      <c r="B2" s="25" t="s">
        <v>43</v>
      </c>
    </row>
    <row r="3" spans="1:2" x14ac:dyDescent="0.3">
      <c r="A3" s="69" t="s">
        <v>74</v>
      </c>
      <c r="B3" s="35">
        <v>0</v>
      </c>
    </row>
    <row r="4" spans="1:2" x14ac:dyDescent="0.3">
      <c r="A4" s="69" t="s">
        <v>75</v>
      </c>
      <c r="B4" s="35">
        <v>0</v>
      </c>
    </row>
    <row r="5" spans="1:2" x14ac:dyDescent="0.3">
      <c r="A5" s="69" t="s">
        <v>204</v>
      </c>
      <c r="B5" s="35">
        <v>1</v>
      </c>
    </row>
    <row r="6" spans="1:2" x14ac:dyDescent="0.3">
      <c r="A6" s="69" t="s">
        <v>205</v>
      </c>
      <c r="B6" s="35">
        <v>1</v>
      </c>
    </row>
    <row r="7" spans="1:2" ht="16.2" thickBot="1" x14ac:dyDescent="0.35">
      <c r="A7" s="27" t="s">
        <v>206</v>
      </c>
      <c r="B7" s="3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71</v>
      </c>
    </row>
    <row r="2" spans="1:16" x14ac:dyDescent="0.3">
      <c r="A2" s="2" t="s">
        <v>74</v>
      </c>
    </row>
    <row r="3" spans="1:16" x14ac:dyDescent="0.3">
      <c r="A3" s="2" t="s">
        <v>75</v>
      </c>
      <c r="N3" s="11"/>
      <c r="O3" s="11"/>
      <c r="P3" s="11"/>
    </row>
    <row r="4" spans="1:16" x14ac:dyDescent="0.3">
      <c r="A4" s="2" t="s">
        <v>204</v>
      </c>
    </row>
    <row r="5" spans="1:16" x14ac:dyDescent="0.3">
      <c r="A5" s="2" t="s">
        <v>205</v>
      </c>
    </row>
    <row r="6" spans="1:16" x14ac:dyDescent="0.3">
      <c r="A6" s="2" t="s">
        <v>206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201</v>
      </c>
    </row>
    <row r="2" spans="1:2" x14ac:dyDescent="0.3">
      <c r="A2" s="4" t="s">
        <v>120</v>
      </c>
      <c r="B2" s="25" t="s">
        <v>43</v>
      </c>
    </row>
    <row r="3" spans="1:2" x14ac:dyDescent="0.3">
      <c r="A3" s="26" t="s">
        <v>72</v>
      </c>
      <c r="B3" s="29">
        <v>1</v>
      </c>
    </row>
    <row r="4" spans="1:2" ht="16.2" thickBot="1" x14ac:dyDescent="0.35">
      <c r="A4" s="27" t="s">
        <v>73</v>
      </c>
      <c r="B4" s="9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e">
        <f>CONCATENATE( "Table with processing cost for sending water to beneficial reuse [",VLOOKUP("currency",#REF!, 2, FALSE),"/", VLOOKUP("volume",#REF!, 2, FALSE),"]")</f>
        <v>#REF!</v>
      </c>
    </row>
    <row r="2" spans="1:2" x14ac:dyDescent="0.3">
      <c r="A2" s="4" t="s">
        <v>228</v>
      </c>
      <c r="B2" s="25" t="s">
        <v>43</v>
      </c>
    </row>
    <row r="3" spans="1:2" x14ac:dyDescent="0.3">
      <c r="A3" s="26" t="s">
        <v>218</v>
      </c>
      <c r="B3" s="29">
        <v>0.04</v>
      </c>
    </row>
    <row r="4" spans="1:2" x14ac:dyDescent="0.3">
      <c r="A4" s="26" t="s">
        <v>219</v>
      </c>
      <c r="B4" s="29">
        <v>0.1</v>
      </c>
    </row>
    <row r="5" spans="1:2" ht="16.2" thickBot="1" x14ac:dyDescent="0.35">
      <c r="A5" s="27" t="s">
        <v>220</v>
      </c>
      <c r="B5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e">
        <f>_xlfn.CONCAT( "Table with credit received for sending water to beneficial reuse [",VLOOKUP("currency",#REF!, 2, FALSE),"/", VLOOKUP("volume",#REF!, 2, FALSE),"]")</f>
        <v>#REF!</v>
      </c>
    </row>
    <row r="2" spans="1:2" x14ac:dyDescent="0.3">
      <c r="A2" s="4" t="s">
        <v>228</v>
      </c>
      <c r="B2" s="25" t="s">
        <v>43</v>
      </c>
    </row>
    <row r="3" spans="1:2" x14ac:dyDescent="0.3">
      <c r="A3" s="26" t="s">
        <v>218</v>
      </c>
      <c r="B3" s="29">
        <v>0.25</v>
      </c>
    </row>
    <row r="4" spans="1:2" x14ac:dyDescent="0.3">
      <c r="A4" s="26" t="s">
        <v>219</v>
      </c>
      <c r="B4" s="29">
        <v>0.35</v>
      </c>
    </row>
    <row r="5" spans="1:2" ht="16.2" thickBot="1" x14ac:dyDescent="0.35">
      <c r="A5" s="27" t="s">
        <v>220</v>
      </c>
      <c r="B5" s="9">
        <v>3.3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202</v>
      </c>
    </row>
    <row r="2" spans="1:2" x14ac:dyDescent="0.3">
      <c r="A2" s="4" t="s">
        <v>111</v>
      </c>
      <c r="B2" s="25" t="s">
        <v>43</v>
      </c>
    </row>
    <row r="3" spans="1:2" ht="16.2" thickBot="1" x14ac:dyDescent="0.35">
      <c r="A3" s="27" t="s">
        <v>63</v>
      </c>
      <c r="B3" s="37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192</v>
      </c>
    </row>
    <row r="2" spans="1:3" x14ac:dyDescent="0.3">
      <c r="A2" s="4" t="s">
        <v>42</v>
      </c>
      <c r="B2" s="25" t="s">
        <v>189</v>
      </c>
    </row>
    <row r="3" spans="1:3" x14ac:dyDescent="0.3">
      <c r="A3" s="26" t="s">
        <v>193</v>
      </c>
      <c r="B3" s="35">
        <v>110</v>
      </c>
    </row>
    <row r="4" spans="1:3" x14ac:dyDescent="0.3">
      <c r="A4" s="26" t="s">
        <v>194</v>
      </c>
      <c r="B4" s="41">
        <v>0.03</v>
      </c>
    </row>
    <row r="5" spans="1:3" x14ac:dyDescent="0.3">
      <c r="A5" s="26" t="s">
        <v>214</v>
      </c>
      <c r="B5" s="35">
        <v>10</v>
      </c>
      <c r="C5" s="1" t="s">
        <v>208</v>
      </c>
    </row>
    <row r="6" spans="1:3" ht="16.2" thickBot="1" x14ac:dyDescent="0.35">
      <c r="A6" s="27" t="s">
        <v>215</v>
      </c>
      <c r="B6" s="37">
        <v>150</v>
      </c>
      <c r="C6" s="1" t="s">
        <v>208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195</v>
      </c>
    </row>
    <row r="2" spans="1:2" x14ac:dyDescent="0.3">
      <c r="A2" s="4" t="s">
        <v>42</v>
      </c>
      <c r="B2" s="25" t="s">
        <v>189</v>
      </c>
    </row>
    <row r="3" spans="1:2" x14ac:dyDescent="0.3">
      <c r="A3" s="26" t="s">
        <v>196</v>
      </c>
      <c r="B3" s="41">
        <v>0.08</v>
      </c>
    </row>
    <row r="4" spans="1:2" ht="16.2" thickBot="1" x14ac:dyDescent="0.35">
      <c r="A4" s="27" t="s">
        <v>197</v>
      </c>
      <c r="B4" s="37">
        <v>20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e">
        <f>_xlfn.CONCAT( "Table of Water Quality of External Water Sources [",VLOOKUP("concentration",#REF!, 2, FALSE),"]")</f>
        <v>#REF!</v>
      </c>
    </row>
    <row r="2" spans="1:2" x14ac:dyDescent="0.3">
      <c r="A2" s="4" t="s">
        <v>259</v>
      </c>
      <c r="B2" s="46" t="s">
        <v>188</v>
      </c>
    </row>
    <row r="3" spans="1:2" x14ac:dyDescent="0.3">
      <c r="A3" s="47" t="s">
        <v>67</v>
      </c>
      <c r="B3" s="124">
        <v>0</v>
      </c>
    </row>
    <row r="4" spans="1:2" ht="16.2" thickBot="1" x14ac:dyDescent="0.35">
      <c r="A4" s="27" t="s">
        <v>68</v>
      </c>
      <c r="B4" s="125">
        <v>0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e">
        <f>_xlfn.CONCAT( "Table of Water Quality of Produced Water and Flowback Water [",VLOOKUP("concentration",#REF!, 2, FALSE),"]")</f>
        <v>#REF!</v>
      </c>
    </row>
    <row r="2" spans="1:2" x14ac:dyDescent="0.3">
      <c r="A2" s="4" t="s">
        <v>198</v>
      </c>
      <c r="B2" s="46" t="s">
        <v>188</v>
      </c>
    </row>
    <row r="3" spans="1:2" x14ac:dyDescent="0.3">
      <c r="A3" s="47" t="s">
        <v>44</v>
      </c>
      <c r="B3" s="48">
        <v>142277</v>
      </c>
    </row>
    <row r="4" spans="1:2" x14ac:dyDescent="0.3">
      <c r="A4" s="26" t="s">
        <v>45</v>
      </c>
      <c r="B4" s="49">
        <v>140998</v>
      </c>
    </row>
    <row r="5" spans="1:2" x14ac:dyDescent="0.3">
      <c r="A5" s="26" t="s">
        <v>46</v>
      </c>
      <c r="B5" s="49">
        <v>172490.2</v>
      </c>
    </row>
    <row r="6" spans="1:2" x14ac:dyDescent="0.3">
      <c r="A6" s="51" t="s">
        <v>47</v>
      </c>
      <c r="B6" s="78">
        <v>257547</v>
      </c>
    </row>
    <row r="7" spans="1:2" ht="16.2" thickBot="1" x14ac:dyDescent="0.35">
      <c r="A7" s="27" t="s">
        <v>63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e">
        <f>_xlfn.CONCAT( "Table of Initial Water Quality at Storage [", VLOOKUP("concentration",#REF!, 2, FALSE),,"]")</f>
        <v>#REF!</v>
      </c>
    </row>
    <row r="2" spans="1:2" x14ac:dyDescent="0.3">
      <c r="A2" s="4" t="s">
        <v>198</v>
      </c>
      <c r="B2" s="46" t="s">
        <v>188</v>
      </c>
    </row>
    <row r="3" spans="1:2" x14ac:dyDescent="0.3">
      <c r="A3" s="47" t="s">
        <v>70</v>
      </c>
      <c r="B3" s="48">
        <v>150000</v>
      </c>
    </row>
    <row r="4" spans="1:2" x14ac:dyDescent="0.3">
      <c r="A4" s="26" t="s">
        <v>216</v>
      </c>
      <c r="B4" s="49">
        <v>150000</v>
      </c>
    </row>
    <row r="5" spans="1:2" ht="16.2" thickBot="1" x14ac:dyDescent="0.35">
      <c r="A5" s="27" t="s">
        <v>217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e">
        <f>_xlfn.CONCAT( "Table of Initial Water Quality at Completions Pad Storage [",VLOOKUP("concentration",#REF!, 2, FALSE),"]")</f>
        <v>#REF!</v>
      </c>
    </row>
    <row r="2" spans="1:2" x14ac:dyDescent="0.3">
      <c r="A2" s="4" t="s">
        <v>111</v>
      </c>
      <c r="B2" s="46" t="s">
        <v>188</v>
      </c>
    </row>
    <row r="3" spans="1:2" ht="16.2" thickBot="1" x14ac:dyDescent="0.35">
      <c r="A3" s="27" t="s">
        <v>63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76</v>
      </c>
    </row>
    <row r="2" spans="1:16" x14ac:dyDescent="0.3">
      <c r="A2" s="2" t="s">
        <v>218</v>
      </c>
    </row>
    <row r="3" spans="1:16" x14ac:dyDescent="0.3">
      <c r="A3" s="2" t="s">
        <v>219</v>
      </c>
      <c r="N3" s="11"/>
      <c r="O3" s="11"/>
      <c r="P3" s="11"/>
    </row>
    <row r="4" spans="1:16" x14ac:dyDescent="0.3">
      <c r="A4" s="2" t="s">
        <v>220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e">
        <f>_xlfn.CONCAT( "Table of Treatment Expansion Lead Time [",VLOOKUP("decision period",#REF!, 2, FALSE),"s]")</f>
        <v>#REF!</v>
      </c>
      <c r="B1" s="1"/>
      <c r="C1" s="1"/>
      <c r="D1" s="1"/>
      <c r="E1" s="1"/>
      <c r="F1" s="1"/>
    </row>
    <row r="2" spans="1:11" ht="15.6" x14ac:dyDescent="0.3">
      <c r="A2" s="4" t="s">
        <v>120</v>
      </c>
      <c r="B2" s="61" t="s">
        <v>183</v>
      </c>
      <c r="C2" s="5" t="s">
        <v>99</v>
      </c>
      <c r="D2" s="5" t="s">
        <v>100</v>
      </c>
      <c r="E2" s="5" t="s">
        <v>101</v>
      </c>
      <c r="F2" s="25" t="s">
        <v>102</v>
      </c>
    </row>
    <row r="3" spans="1:11" ht="15.6" x14ac:dyDescent="0.3">
      <c r="A3" s="26" t="s">
        <v>72</v>
      </c>
      <c r="B3" s="57" t="s">
        <v>74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51" t="s">
        <v>73</v>
      </c>
      <c r="B4" s="107" t="s">
        <v>74</v>
      </c>
      <c r="C4" s="108">
        <v>0</v>
      </c>
      <c r="D4" s="102">
        <v>68</v>
      </c>
      <c r="E4" s="102">
        <v>70</v>
      </c>
      <c r="F4" s="103">
        <v>72</v>
      </c>
    </row>
    <row r="5" spans="1:11" ht="15.6" x14ac:dyDescent="0.3">
      <c r="A5" s="26" t="s">
        <v>72</v>
      </c>
      <c r="B5" s="57" t="s">
        <v>75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51" t="s">
        <v>73</v>
      </c>
      <c r="B6" s="107" t="s">
        <v>75</v>
      </c>
      <c r="C6" s="108">
        <v>0</v>
      </c>
      <c r="D6" s="102">
        <v>68</v>
      </c>
      <c r="E6" s="102">
        <v>70</v>
      </c>
      <c r="F6" s="103">
        <v>72</v>
      </c>
    </row>
    <row r="7" spans="1:11" ht="15.6" x14ac:dyDescent="0.3">
      <c r="A7" s="26" t="s">
        <v>72</v>
      </c>
      <c r="B7" s="57" t="s">
        <v>204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51" t="s">
        <v>73</v>
      </c>
      <c r="B8" s="107" t="s">
        <v>204</v>
      </c>
      <c r="C8" s="108">
        <v>0</v>
      </c>
      <c r="D8" s="102">
        <v>68</v>
      </c>
      <c r="E8" s="102">
        <v>70</v>
      </c>
      <c r="F8" s="103">
        <v>72</v>
      </c>
      <c r="K8" s="10"/>
    </row>
    <row r="9" spans="1:11" ht="15.6" x14ac:dyDescent="0.3">
      <c r="A9" s="26" t="s">
        <v>72</v>
      </c>
      <c r="B9" s="57" t="s">
        <v>205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51" t="s">
        <v>73</v>
      </c>
      <c r="B10" s="107" t="s">
        <v>205</v>
      </c>
      <c r="C10" s="108">
        <v>0</v>
      </c>
      <c r="D10" s="102">
        <v>68</v>
      </c>
      <c r="E10" s="102">
        <v>70</v>
      </c>
      <c r="F10" s="103">
        <v>72</v>
      </c>
      <c r="K10" s="10"/>
    </row>
    <row r="11" spans="1:11" ht="15.6" x14ac:dyDescent="0.3">
      <c r="A11" s="26" t="s">
        <v>72</v>
      </c>
      <c r="B11" s="57" t="s">
        <v>206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73</v>
      </c>
      <c r="B12" s="66" t="s">
        <v>206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e">
        <f>_xlfn.CONCAT( "Table of Disposal Expansion Lead Time [",VLOOKUP("decision period",#REF!, 2, FALSE),"s]")</f>
        <v>#REF!</v>
      </c>
      <c r="B1" s="1"/>
      <c r="C1" s="1"/>
    </row>
    <row r="2" spans="1:3" ht="15.6" x14ac:dyDescent="0.3">
      <c r="A2" s="4" t="s">
        <v>181</v>
      </c>
      <c r="B2" s="5" t="s">
        <v>104</v>
      </c>
      <c r="C2" s="25" t="s">
        <v>105</v>
      </c>
    </row>
    <row r="3" spans="1:3" ht="15.6" x14ac:dyDescent="0.3">
      <c r="A3" s="26" t="s">
        <v>65</v>
      </c>
      <c r="B3" s="34">
        <v>0</v>
      </c>
      <c r="C3" s="35">
        <v>45</v>
      </c>
    </row>
    <row r="4" spans="1:3" ht="16.2" thickBot="1" x14ac:dyDescent="0.35">
      <c r="A4" s="27" t="s">
        <v>66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e">
        <f>_xlfn.CONCAT( "Table of Storage Expansion Lead Time [",VLOOKUP("decision period",#REF!, 2, FALSE),"s]")</f>
        <v>#REF!</v>
      </c>
      <c r="B1" s="1"/>
      <c r="C1" s="1"/>
    </row>
    <row r="2" spans="1:5" ht="15.6" x14ac:dyDescent="0.3">
      <c r="A2" s="4" t="s">
        <v>122</v>
      </c>
      <c r="B2" s="54" t="s">
        <v>94</v>
      </c>
      <c r="C2" s="5" t="s">
        <v>95</v>
      </c>
      <c r="D2" s="5" t="s">
        <v>96</v>
      </c>
      <c r="E2" s="25" t="s">
        <v>97</v>
      </c>
    </row>
    <row r="3" spans="1:5" ht="15.6" x14ac:dyDescent="0.3">
      <c r="A3" s="26" t="s">
        <v>70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216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217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e">
        <f>_xlfn.CONCAT( "Table of Pipeline Expansion Lead Time - Distance Based [",VLOOKUP("decision period",#REF!, 2, FALSE),"s/",VLOOKUP("distance",#REF!, 2, FALSE),"]")</f>
        <v>#REF!</v>
      </c>
    </row>
    <row r="2" spans="1:2" ht="15.6" x14ac:dyDescent="0.3">
      <c r="A2" s="4" t="s">
        <v>42</v>
      </c>
      <c r="B2" s="25" t="s">
        <v>189</v>
      </c>
    </row>
    <row r="3" spans="1:2" ht="16.2" thickBot="1" x14ac:dyDescent="0.35">
      <c r="A3" s="27" t="s">
        <v>231</v>
      </c>
      <c r="B3" s="109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e">
        <f>_xlfn.CONCAT( "Table of Pipeline Expansion Lead Time - Capacity Based [",VLOOKUP("decision period",#REF!, 2, FALSE),"s]")</f>
        <v>#REF!</v>
      </c>
      <c r="B1" s="1"/>
      <c r="C1" s="1"/>
      <c r="D1" s="1"/>
    </row>
    <row r="2" spans="1:5" ht="15.6" x14ac:dyDescent="0.3">
      <c r="A2" s="4" t="s">
        <v>180</v>
      </c>
      <c r="B2" s="67" t="s">
        <v>180</v>
      </c>
      <c r="C2" s="5" t="s">
        <v>88</v>
      </c>
      <c r="D2" s="5" t="s">
        <v>89</v>
      </c>
      <c r="E2" s="25" t="s">
        <v>91</v>
      </c>
    </row>
    <row r="3" spans="1:5" ht="15.6" x14ac:dyDescent="0.3">
      <c r="A3" s="26" t="s">
        <v>78</v>
      </c>
      <c r="B3" s="110" t="s">
        <v>79</v>
      </c>
      <c r="C3" s="111">
        <v>0</v>
      </c>
      <c r="D3" s="111">
        <v>1</v>
      </c>
      <c r="E3" s="104">
        <v>2</v>
      </c>
    </row>
    <row r="4" spans="1:5" ht="15.6" x14ac:dyDescent="0.3">
      <c r="A4" s="26" t="s">
        <v>79</v>
      </c>
      <c r="B4" s="110" t="s">
        <v>80</v>
      </c>
      <c r="C4" s="111">
        <v>0</v>
      </c>
      <c r="D4" s="111">
        <v>1</v>
      </c>
      <c r="E4" s="104">
        <v>2</v>
      </c>
    </row>
    <row r="5" spans="1:5" ht="15.6" x14ac:dyDescent="0.3">
      <c r="A5" s="26" t="s">
        <v>79</v>
      </c>
      <c r="B5" s="110" t="s">
        <v>82</v>
      </c>
      <c r="C5" s="111">
        <v>0</v>
      </c>
      <c r="D5" s="111">
        <v>1</v>
      </c>
      <c r="E5" s="104">
        <v>2</v>
      </c>
    </row>
    <row r="6" spans="1:5" ht="16.2" thickBot="1" x14ac:dyDescent="0.35">
      <c r="A6" s="27" t="s">
        <v>80</v>
      </c>
      <c r="B6" s="112" t="s">
        <v>82</v>
      </c>
      <c r="C6" s="105">
        <v>0</v>
      </c>
      <c r="D6" s="105">
        <v>1</v>
      </c>
      <c r="E6" s="106">
        <v>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241</v>
      </c>
    </row>
    <row r="2" spans="1:2" x14ac:dyDescent="0.3">
      <c r="A2" s="4" t="s">
        <v>181</v>
      </c>
      <c r="B2" s="115" t="s">
        <v>189</v>
      </c>
    </row>
    <row r="3" spans="1:2" x14ac:dyDescent="0.3">
      <c r="A3" s="26" t="s">
        <v>65</v>
      </c>
      <c r="B3" s="29">
        <v>0</v>
      </c>
    </row>
    <row r="4" spans="1:2" ht="16.2" thickBot="1" x14ac:dyDescent="0.35">
      <c r="A4" s="27" t="s">
        <v>66</v>
      </c>
      <c r="B4" s="9">
        <v>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240</v>
      </c>
    </row>
    <row r="2" spans="1:2" x14ac:dyDescent="0.3">
      <c r="A2" s="4" t="s">
        <v>181</v>
      </c>
      <c r="B2" s="115" t="s">
        <v>189</v>
      </c>
    </row>
    <row r="3" spans="1:2" x14ac:dyDescent="0.3">
      <c r="A3" s="26" t="s">
        <v>65</v>
      </c>
      <c r="B3" s="29">
        <v>0.55000000000000004</v>
      </c>
    </row>
    <row r="4" spans="1:2" ht="16.2" thickBot="1" x14ac:dyDescent="0.35">
      <c r="A4" s="27" t="s">
        <v>66</v>
      </c>
      <c r="B4" s="9">
        <v>0.65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/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254</v>
      </c>
    </row>
    <row r="2" spans="1:10" x14ac:dyDescent="0.3">
      <c r="A2" s="4" t="s">
        <v>181</v>
      </c>
      <c r="B2" s="115" t="s">
        <v>189</v>
      </c>
      <c r="C2" s="114"/>
      <c r="D2" s="114"/>
      <c r="E2" s="114"/>
      <c r="F2" s="114"/>
      <c r="G2" s="113"/>
      <c r="H2" s="113"/>
      <c r="I2" s="113"/>
      <c r="J2" s="113"/>
    </row>
    <row r="3" spans="1:10" x14ac:dyDescent="0.3">
      <c r="A3" s="26" t="s">
        <v>65</v>
      </c>
      <c r="B3" s="29">
        <v>0.28999999999999998</v>
      </c>
      <c r="C3" s="6"/>
      <c r="D3" s="6"/>
      <c r="E3" s="6"/>
      <c r="F3" s="6"/>
    </row>
    <row r="4" spans="1:10" ht="16.2" thickBot="1" x14ac:dyDescent="0.35">
      <c r="A4" s="27" t="s">
        <v>66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249</v>
      </c>
    </row>
    <row r="2" spans="1:6" x14ac:dyDescent="0.3">
      <c r="A2" s="4" t="s">
        <v>181</v>
      </c>
      <c r="B2" s="115" t="s">
        <v>189</v>
      </c>
      <c r="C2" s="113"/>
      <c r="D2" s="113"/>
      <c r="E2" s="113"/>
      <c r="F2" s="113"/>
    </row>
    <row r="3" spans="1:6" x14ac:dyDescent="0.3">
      <c r="A3" s="26" t="s">
        <v>65</v>
      </c>
      <c r="B3" s="29">
        <v>0.79</v>
      </c>
    </row>
    <row r="4" spans="1:6" ht="16.2" thickBot="1" x14ac:dyDescent="0.35">
      <c r="A4" s="27" t="s">
        <v>66</v>
      </c>
      <c r="B4" s="9">
        <v>0.35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250</v>
      </c>
    </row>
    <row r="2" spans="1:2" x14ac:dyDescent="0.3">
      <c r="A2" s="4" t="s">
        <v>181</v>
      </c>
      <c r="B2" s="115" t="s">
        <v>189</v>
      </c>
    </row>
    <row r="3" spans="1:2" x14ac:dyDescent="0.3">
      <c r="A3" s="26" t="s">
        <v>65</v>
      </c>
      <c r="B3" s="29">
        <v>1.1000000000000001</v>
      </c>
    </row>
    <row r="4" spans="1:2" ht="16.2" thickBot="1" x14ac:dyDescent="0.35">
      <c r="A4" s="27" t="s">
        <v>66</v>
      </c>
      <c r="B4" s="9">
        <v>5.46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Overview</vt:lpstr>
      <vt:lpstr>Schematic</vt:lpstr>
      <vt:lpstr>ProductionTanks</vt:lpstr>
      <vt:lpstr>SWDSites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2024-03-23T02:36:06Z</dcterms:modified>
  <cp:category/>
  <cp:contentStatus/>
</cp:coreProperties>
</file>