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C:\work\research\PARETO\tmp\"/>
    </mc:Choice>
  </mc:AlternateContent>
  <xr:revisionPtr revIDLastSave="0" documentId="13_ncr:1_{9412F94F-2ED1-442B-B406-EF9E2B52DE2F}" xr6:coauthVersionLast="47" xr6:coauthVersionMax="47" xr10:uidLastSave="{00000000-0000-0000-0000-000000000000}"/>
  <bookViews>
    <workbookView xWindow="2745" yWindow="4005" windowWidth="39840" windowHeight="26715" xr2:uid="{D8B688D0-5F80-4240-84D1-EDA21B42BE92}"/>
  </bookViews>
  <sheets>
    <sheet name="Logic Plan for Coding" sheetId="4" r:id="rId1"/>
    <sheet name="Logic Plan Orig Worksheet" sheetId="1" r:id="rId2"/>
    <sheet name="Disposal Expansion Cost Input"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12" i="4" l="1"/>
  <c r="T29" i="4"/>
  <c r="R29" i="4"/>
  <c r="L29" i="4"/>
  <c r="M29" i="4"/>
  <c r="Q29" i="4" s="1"/>
  <c r="S29" i="4" s="1"/>
  <c r="M25" i="4"/>
  <c r="L25" i="4"/>
  <c r="K25" i="4"/>
  <c r="R31" i="4"/>
  <c r="Q31" i="4"/>
  <c r="M30" i="4"/>
  <c r="P29" i="4"/>
  <c r="O29" i="4"/>
  <c r="N29" i="4"/>
  <c r="N25" i="4"/>
  <c r="O25" i="4"/>
  <c r="P25" i="4"/>
  <c r="P23" i="4"/>
  <c r="P21" i="4"/>
  <c r="M21" i="4"/>
  <c r="L21" i="4"/>
  <c r="R18" i="4"/>
  <c r="R17" i="4"/>
  <c r="R16" i="4"/>
  <c r="R15" i="4"/>
  <c r="R14" i="4"/>
  <c r="R13" i="4"/>
  <c r="R12" i="4"/>
  <c r="R11" i="4"/>
  <c r="R10" i="4"/>
  <c r="Q18" i="4"/>
  <c r="Q17" i="4"/>
  <c r="Q16" i="4"/>
  <c r="Q15" i="4"/>
  <c r="Q14" i="4"/>
  <c r="Q13" i="4"/>
  <c r="Q11" i="4"/>
  <c r="Q10" i="4"/>
  <c r="M31" i="4"/>
  <c r="M32" i="4"/>
  <c r="M33" i="4"/>
  <c r="M34" i="4"/>
  <c r="M35" i="4"/>
  <c r="M36" i="4"/>
  <c r="M37" i="4"/>
  <c r="L30" i="4"/>
  <c r="L31" i="4"/>
  <c r="L32" i="4"/>
  <c r="L33" i="4"/>
  <c r="L34" i="4"/>
  <c r="L35" i="4"/>
  <c r="L36" i="4"/>
  <c r="L37" i="4"/>
  <c r="K30" i="4"/>
  <c r="K31" i="4"/>
  <c r="K32" i="4"/>
  <c r="K33" i="4"/>
  <c r="K34" i="4"/>
  <c r="K35" i="4"/>
  <c r="K36" i="4"/>
  <c r="K37" i="4"/>
  <c r="K29" i="4"/>
  <c r="P37" i="4"/>
  <c r="O37" i="4"/>
  <c r="N37" i="4"/>
  <c r="P36" i="4"/>
  <c r="O36" i="4"/>
  <c r="N36" i="4"/>
  <c r="P35" i="4"/>
  <c r="O35" i="4"/>
  <c r="N35" i="4"/>
  <c r="P34" i="4"/>
  <c r="O34" i="4"/>
  <c r="N34" i="4"/>
  <c r="P33" i="4"/>
  <c r="O33" i="4"/>
  <c r="N33" i="4"/>
  <c r="P32" i="4"/>
  <c r="O32" i="4"/>
  <c r="N32" i="4"/>
  <c r="P31" i="4"/>
  <c r="O31" i="4"/>
  <c r="N31" i="4"/>
  <c r="P30" i="4"/>
  <c r="O30" i="4"/>
  <c r="N30" i="4"/>
  <c r="O23" i="4"/>
  <c r="N23" i="4"/>
  <c r="M23" i="4"/>
  <c r="L23" i="4"/>
  <c r="O21" i="4"/>
  <c r="N21" i="4"/>
  <c r="L8" i="1"/>
  <c r="M8" i="1"/>
  <c r="N8" i="1"/>
  <c r="O8" i="1"/>
  <c r="K8" i="1"/>
  <c r="L6" i="1"/>
  <c r="L10" i="1" s="1"/>
  <c r="M6" i="1"/>
  <c r="N6" i="1"/>
  <c r="O6" i="1"/>
  <c r="K6" i="1"/>
  <c r="C29" i="3"/>
  <c r="C22" i="3"/>
  <c r="C23" i="3"/>
  <c r="C24" i="3"/>
  <c r="C25" i="3"/>
  <c r="C26" i="3"/>
  <c r="C27" i="3"/>
  <c r="C28" i="3"/>
  <c r="C21" i="3"/>
  <c r="E8" i="3"/>
  <c r="F8" i="3" s="1"/>
  <c r="E9" i="3"/>
  <c r="F9" i="3" s="1"/>
  <c r="E10" i="3"/>
  <c r="F10" i="3" s="1"/>
  <c r="E11" i="3"/>
  <c r="F11" i="3" s="1"/>
  <c r="E12" i="3"/>
  <c r="F12" i="3" s="1"/>
  <c r="E13" i="3"/>
  <c r="F13" i="3" s="1"/>
  <c r="E14" i="3"/>
  <c r="F14" i="3" s="1"/>
  <c r="E15" i="3"/>
  <c r="F15" i="3" s="1"/>
  <c r="E7" i="3"/>
  <c r="F7" i="3" s="1"/>
  <c r="Q30" i="4" l="1"/>
  <c r="Q32" i="4"/>
  <c r="Q33" i="4"/>
  <c r="Q35" i="4"/>
  <c r="Q36" i="4"/>
  <c r="Q34" i="4"/>
  <c r="Q37" i="4"/>
  <c r="K10" i="1"/>
  <c r="O10" i="1"/>
  <c r="N10" i="1"/>
  <c r="M10" i="1"/>
  <c r="Z21" i="1"/>
  <c r="Z20" i="1"/>
  <c r="V20" i="1"/>
  <c r="U20" i="1"/>
  <c r="T20" i="1"/>
  <c r="Z19" i="1"/>
  <c r="R19" i="1"/>
  <c r="Z18" i="1"/>
  <c r="Z17" i="1"/>
  <c r="V17" i="1"/>
  <c r="U17" i="1"/>
  <c r="T17" i="1"/>
  <c r="S17" i="1"/>
  <c r="R17" i="1"/>
  <c r="Z16" i="1"/>
  <c r="Z15" i="1"/>
  <c r="V15" i="1"/>
  <c r="Z14" i="1"/>
  <c r="V14" i="1"/>
  <c r="U14" i="1"/>
  <c r="T14" i="1"/>
  <c r="S14" i="1"/>
  <c r="R14" i="1"/>
  <c r="Z13" i="1"/>
  <c r="V13" i="1"/>
  <c r="T31" i="4" l="1"/>
  <c r="R36" i="4"/>
  <c r="S36" i="4" s="1"/>
  <c r="W17" i="1"/>
  <c r="W14" i="1"/>
  <c r="T16" i="1"/>
  <c r="V19" i="1"/>
  <c r="U16" i="1"/>
  <c r="S21" i="1"/>
  <c r="T13" i="1"/>
  <c r="R18" i="1"/>
  <c r="T21" i="1"/>
  <c r="R15" i="1"/>
  <c r="T18" i="1"/>
  <c r="S19" i="1"/>
  <c r="S16" i="1"/>
  <c r="R13" i="1"/>
  <c r="V16" i="1"/>
  <c r="U21" i="1"/>
  <c r="V21" i="1"/>
  <c r="U18" i="1"/>
  <c r="T15" i="1"/>
  <c r="V18" i="1"/>
  <c r="R20" i="1"/>
  <c r="R16" i="1"/>
  <c r="T19" i="1"/>
  <c r="U19" i="1"/>
  <c r="R21" i="1"/>
  <c r="S13" i="1"/>
  <c r="U13" i="1"/>
  <c r="S18" i="1"/>
  <c r="S15" i="1"/>
  <c r="U15" i="1"/>
  <c r="S20" i="1"/>
  <c r="T32" i="4" l="1"/>
  <c r="R30" i="4"/>
  <c r="S30" i="4" s="1"/>
  <c r="R33" i="4"/>
  <c r="S33" i="4" s="1"/>
  <c r="R35" i="4"/>
  <c r="S35" i="4" s="1"/>
  <c r="R32" i="4"/>
  <c r="S32" i="4" s="1"/>
  <c r="R34" i="4"/>
  <c r="S34" i="4" s="1"/>
  <c r="S31" i="4"/>
  <c r="R37" i="4"/>
  <c r="S37" i="4" s="1"/>
  <c r="W20" i="1"/>
  <c r="W19" i="1"/>
  <c r="W21" i="1"/>
  <c r="W15" i="1"/>
  <c r="W18" i="1"/>
  <c r="W13" i="1"/>
  <c r="W16" i="1"/>
  <c r="J10" i="1"/>
  <c r="T33" i="4" l="1"/>
  <c r="X14" i="1"/>
  <c r="Y14" i="1" s="1"/>
  <c r="X17" i="1"/>
  <c r="Y17" i="1" s="1"/>
  <c r="X13" i="1"/>
  <c r="Y13" i="1" s="1"/>
  <c r="X15" i="1"/>
  <c r="Y15" i="1" s="1"/>
  <c r="X20" i="1"/>
  <c r="Y20" i="1" s="1"/>
  <c r="X21" i="1"/>
  <c r="Y21" i="1" s="1"/>
  <c r="X16" i="1"/>
  <c r="Y16" i="1" s="1"/>
  <c r="X18" i="1"/>
  <c r="Y18" i="1" s="1"/>
  <c r="X19" i="1"/>
  <c r="Y19" i="1" s="1"/>
  <c r="T34" i="4" l="1"/>
  <c r="T35" i="4" l="1"/>
  <c r="T36" i="4" l="1"/>
  <c r="T30" i="4" l="1"/>
  <c r="T37"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tc={D0C0BE56-5B31-4F6E-9B0E-BF8DF7E8894E}</author>
    <author>tc={BF3FC4D7-DA8D-48CA-A512-0EC71617C9C2}</author>
    <author>tc={C7643A45-51B6-44E0-B0B0-86DEE618156E}</author>
    <author>tc={73638B2A-2067-49BF-9AF5-0B59C77BD4E6}</author>
    <author>tc={859022DC-3EF3-4D17-A504-2FC92C72C2DF}</author>
    <author>tc={9A1F8EEA-FF34-40C1-8A47-FBF67B60496A}</author>
    <author>tc={7FFF1806-C901-4617-BEE7-4990B76D4DC3}</author>
    <author>tc={3A370739-83D1-4B40-9E91-9CA433E9A9B6}</author>
    <author>tc={4FC7E69D-3BF4-493C-BF99-5BE7A6F8DAFF}</author>
    <author>tc={04918B4E-A727-4E26-AA75-2A84FE54E022}</author>
    <author>tc={3E68DBA8-8F00-4356-A6EE-6FD4C1182929}</author>
    <author>tc={880650DD-0AD0-4BCA-92FC-67950CAA50F9}</author>
    <author>tc={70220365-32F5-4995-8E0D-DAB590A48693}</author>
    <author>tc={2ED87E26-B191-4A3D-B3CA-9305D74D0EB6}</author>
    <author>tc={A7077726-4EE0-47BF-9489-CDD037F88350}</author>
    <author>tc={26E894EC-1BC8-4A54-A66E-BEAE5A1472A5}</author>
    <author>tc={0DD34EC2-E577-4C1E-AB18-C0A43AE71EC6}</author>
    <author>tc={2414C9D3-3B69-4C8F-BDA8-CC050B13E32C}</author>
    <author>tc={1D17E194-81A1-4B24-9629-37B8D9213CA1}</author>
  </authors>
  <commentList>
    <comment ref="L3" authorId="0" shapeId="0" xr:uid="{D0C0BE56-5B31-4F6E-9B0E-BF8DF7E8894E}">
      <text>
        <t>[Threaded comment]
Your version of Excel allows you to read this threaded comment; however, any edits to it will get removed if the file is opened in a newer version of Excel. Learn more: https://go.microsoft.com/fwlink/?linkid=870924
Comment:
    orphan_well_distance_risk_factor</t>
      </text>
    </comment>
    <comment ref="M3" authorId="1" shapeId="0" xr:uid="{BF3FC4D7-DA8D-48CA-A512-0EC71617C9C2}">
      <text>
        <t>[Threaded comment]
Your version of Excel allows you to read this threaded comment; however, any edits to it will get removed if the file is opened in a newer version of Excel. Learn more: https://go.microsoft.com/fwlink/?linkid=870924
Comment:
    inactive_well_distance_risk_factor</t>
      </text>
    </comment>
    <comment ref="N3" authorId="2" shapeId="0" xr:uid="{C7643A45-51B6-44E0-B0B0-86DEE618156E}">
      <text>
        <t>[Threaded comment]
Your version of Excel allows you to read this threaded comment; however, any edits to it will get removed if the file is opened in a newer version of Excel. Learn more: https://go.microsoft.com/fwlink/?linkid=870924
Comment:
    EQ_distance_risk_factor</t>
      </text>
    </comment>
    <comment ref="O3" authorId="3" shapeId="0" xr:uid="{73638B2A-2067-49BF-9AF5-0B59C77BD4E6}">
      <text>
        <t>[Threaded comment]
Your version of Excel allows you to read this threaded comment; however, any edits to it will get removed if the file is opened in a newer version of Excel. Learn more: https://go.microsoft.com/fwlink/?linkid=870924
Comment:
    fault_distance_risk_factor</t>
      </text>
    </comment>
    <comment ref="P3" authorId="4" shapeId="0" xr:uid="{859022DC-3EF3-4D17-A504-2FC92C72C2DF}">
      <text>
        <t>[Threaded comment]
Your version of Excel allows you to read this threaded comment; however, any edits to it will get removed if the file is opened in a newer version of Excel. Learn more: https://go.microsoft.com/fwlink/?linkid=870924
Comment:
    HP_LP_distance_risk_factor</t>
      </text>
    </comment>
    <comment ref="L4" authorId="5" shapeId="0" xr:uid="{9A1F8EEA-FF34-40C1-8A47-FBF67B60496A}">
      <text>
        <t>[Threaded comment]
Your version of Excel allows you to read this threaded comment; however, any edits to it will get removed if the file is opened in a newer version of Excel. Learn more: https://go.microsoft.com/fwlink/?linkid=870924
Comment:
    orphan_well_severity_risk_factor</t>
      </text>
    </comment>
    <comment ref="M4" authorId="6" shapeId="0" xr:uid="{7FFF1806-C901-4617-BEE7-4990B76D4DC3}">
      <text>
        <t>[Threaded comment]
Your version of Excel allows you to read this threaded comment; however, any edits to it will get removed if the file is opened in a newer version of Excel. Learn more: https://go.microsoft.com/fwlink/?linkid=870924
Comment:
    inactive_well_severity_risk_factor</t>
      </text>
    </comment>
    <comment ref="N4" authorId="7" shapeId="0" xr:uid="{3A370739-83D1-4B40-9E91-9CA433E9A9B6}">
      <text>
        <t>[Threaded comment]
Your version of Excel allows you to read this threaded comment; however, any edits to it will get removed if the file is opened in a newer version of Excel. Learn more: https://go.microsoft.com/fwlink/?linkid=870924
Comment:
    EQ_severity_risk_factor</t>
      </text>
    </comment>
    <comment ref="O4" authorId="8" shapeId="0" xr:uid="{4FC7E69D-3BF4-493C-BF99-5BE7A6F8DAFF}">
      <text>
        <t>[Threaded comment]
Your version of Excel allows you to read this threaded comment; however, any edits to it will get removed if the file is opened in a newer version of Excel. Learn more: https://go.microsoft.com/fwlink/?linkid=870924
Comment:
    fault_severity_risk_factor</t>
      </text>
    </comment>
    <comment ref="P4" authorId="9" shapeId="0" xr:uid="{04918B4E-A727-4E26-AA75-2A84FE54E022}">
      <text>
        <t>[Threaded comment]
Your version of Excel allows you to read this threaded comment; however, any edits to it will get removed if the file is opened in a newer version of Excel. Learn more: https://go.microsoft.com/fwlink/?linkid=870924
Comment:
    HP_LP_severity_risk_factor</t>
      </text>
    </comment>
    <comment ref="L5" authorId="10" shapeId="0" xr:uid="{3E68DBA8-8F00-4356-A6EE-6FD4C1182929}">
      <text>
        <t>[Threaded comment]
Your version of Excel allows you to read this threaded comment; however, any edits to it will get removed if the file is opened in a newer version of Excel. Learn more: https://go.microsoft.com/fwlink/?linkid=870924
Comment:
    LP_threshold</t>
      </text>
    </comment>
    <comment ref="L6" authorId="11" shapeId="0" xr:uid="{880650DD-0AD0-4BCA-92FC-67950CAA50F9}">
      <text>
        <t>[Threaded comment]
Your version of Excel allows you to read this threaded comment; however, any edits to it will get removed if the file is opened in a newer version of Excel. Learn more: https://go.microsoft.com/fwlink/?linkid=870924
Comment:
    HP_threshold</t>
      </text>
    </comment>
    <comment ref="I9" authorId="12" shapeId="0" xr:uid="{70220365-32F5-4995-8E0D-DAB590A48693}">
      <text>
        <t>[Threaded comment]
Your version of Excel allows you to read this threaded comment; however, any edits to it will get removed if the file is opened in a newer version of Excel. Learn more: https://go.microsoft.com/fwlink/?linkid=870924
Comment:
    SWDDepp</t>
      </text>
    </comment>
    <comment ref="K9" authorId="13" shapeId="0" xr:uid="{2ED87E26-B191-4A3D-B3CA-9305D74D0EB6}">
      <text>
        <t>[Threaded comment]
Your version of Excel allows you to read this threaded comment; however, any edits to it will get removed if the file is opened in a newer version of Excel. Learn more: https://go.microsoft.com/fwlink/?linkid=870924
Comment:
    SWDAveragePressure</t>
      </text>
    </comment>
    <comment ref="L9" authorId="14" shapeId="0" xr:uid="{A7077726-4EE0-47BF-9489-CDD037F88350}">
      <text>
        <t>[Threaded comment]
Your version of Excel allows you to read this threaded comment; however, any edits to it will get removed if the file is opened in a newer version of Excel. Learn more: https://go.microsoft.com/fwlink/?linkid=870924
Comment:
    SWDProxOrphanWell</t>
      </text>
    </comment>
    <comment ref="M9" authorId="15" shapeId="0" xr:uid="{26E894EC-1BC8-4A54-A66E-BEAE5A1472A5}">
      <text>
        <t>[Threaded comment]
Your version of Excel allows you to read this threaded comment; however, any edits to it will get removed if the file is opened in a newer version of Excel. Learn more: https://go.microsoft.com/fwlink/?linkid=870924
Comment:
    SWDProxInactiveWell</t>
      </text>
    </comment>
    <comment ref="N9" authorId="16" shapeId="0" xr:uid="{0DD34EC2-E577-4C1E-AB18-C0A43AE71EC6}">
      <text>
        <t>[Threaded comment]
Your version of Excel allows you to read this threaded comment; however, any edits to it will get removed if the file is opened in a newer version of Excel. Learn more: https://go.microsoft.com/fwlink/?linkid=870924
Comment:
    SWDProxEQ</t>
      </text>
    </comment>
    <comment ref="O9" authorId="17" shapeId="0" xr:uid="{2414C9D3-3B69-4C8F-BDA8-CC050B13E32C}">
      <text>
        <t>[Threaded comment]
Your version of Excel allows you to read this threaded comment; however, any edits to it will get removed if the file is opened in a newer version of Excel. Learn more: https://go.microsoft.com/fwlink/?linkid=870924
Comment:
    SWDProxFault</t>
      </text>
    </comment>
    <comment ref="P9" authorId="18" shapeId="0" xr:uid="{1D17E194-81A1-4B24-9629-37B8D9213CA1}">
      <text>
        <t>[Threaded comment]
Your version of Excel allows you to read this threaded comment; however, any edits to it will get removed if the file is opened in a newer version of Excel. Learn more: https://go.microsoft.com/fwlink/?linkid=870924
Comment:
    SWDProxHpOrLpWell</t>
      </text>
    </comment>
  </commentList>
</comments>
</file>

<file path=xl/sharedStrings.xml><?xml version="1.0" encoding="utf-8"?>
<sst xmlns="http://schemas.openxmlformats.org/spreadsheetml/2006/main" count="342" uniqueCount="126">
  <si>
    <t>Shallow Well Completion Cost ($M)</t>
  </si>
  <si>
    <t>Confirm logic is coded in Model:</t>
  </si>
  <si>
    <t>Manual Data Preparation</t>
  </si>
  <si>
    <t>Deep Well Completion Cost ($M)</t>
  </si>
  <si>
    <t>Convert KM to Miles</t>
  </si>
  <si>
    <t>Proximity to Official Abandoned Well</t>
  </si>
  <si>
    <t>Proximity to Inactive formerly producing well (Completed prior to 2000)</t>
  </si>
  <si>
    <t>Proximity to EQ &gt;3.0</t>
  </si>
  <si>
    <t>Proximity to Fault</t>
  </si>
  <si>
    <t>Proximity to HP (&gt;.7 psi) or LP (&lt;.5 psi) Injection Well</t>
  </si>
  <si>
    <t>Weighting Factor 1</t>
  </si>
  <si>
    <t>Distance from Risk</t>
  </si>
  <si>
    <t>Weighting Factor 2</t>
  </si>
  <si>
    <t>Severity of Risk</t>
  </si>
  <si>
    <t>Reference Case (Miles) :  Max Value for Lowest Risk</t>
  </si>
  <si>
    <t>Data Gathering and Prefilter</t>
  </si>
  <si>
    <t>Done</t>
  </si>
  <si>
    <t>x</t>
  </si>
  <si>
    <t>Apply Max Values</t>
  </si>
  <si>
    <t>Plausible candidate SWD locations identifed in area</t>
  </si>
  <si>
    <t>Well Identifier</t>
  </si>
  <si>
    <t>Shallow or Deep (S or D)</t>
  </si>
  <si>
    <t>Existing Commercial / New Drill</t>
  </si>
  <si>
    <t>Proximity to Official Abandoned Well (Miles)</t>
  </si>
  <si>
    <t>Proximity to Inactive formerly producing well (Completed prior to 2000) (Miles)</t>
  </si>
  <si>
    <t>Proximity to EQ &gt;3.0 (Miles)</t>
  </si>
  <si>
    <t>Proximity to Fault (Miles)</t>
  </si>
  <si>
    <t>Proximity to HP (&gt;.7 psi) or LP (&lt;.5 psi) Injection Well (Miles)</t>
  </si>
  <si>
    <t>Weighted Risk Factor for Well</t>
  </si>
  <si>
    <t>Include (1) or Not (0)</t>
  </si>
  <si>
    <t>D</t>
  </si>
  <si>
    <t>EC</t>
  </si>
  <si>
    <t>Produced water Volumes</t>
  </si>
  <si>
    <t>Less Water for Reuse (treatment and transport)</t>
  </si>
  <si>
    <t>Less Beneficial Reuse (treatment and transport)</t>
  </si>
  <si>
    <t>= Left over "Surplus" area PW</t>
  </si>
  <si>
    <t>Discuss Volumes with Travis - keep model "as is" for consistency?</t>
  </si>
  <si>
    <t>Rank Left over Surplus PW by Volume</t>
  </si>
  <si>
    <t xml:space="preserve">     (ignoring quality of water for this exercise)</t>
  </si>
  <si>
    <t>Determine proximity from Candidate SWD locations to Largest Surplus PW Sources</t>
  </si>
  <si>
    <t>Force Ranking by Volume (Most) and closest Proximity &gt; Data Table  (Logic being closer is cheaper), or do I need to have deep well costs versus shallow well costs considered, plus volumes?)</t>
  </si>
  <si>
    <r>
      <t xml:space="preserve">Volumetric Max Input per Well   </t>
    </r>
    <r>
      <rPr>
        <sz val="11"/>
        <color theme="1"/>
        <rFont val="Calibri"/>
        <family val="2"/>
        <scheme val="minor"/>
      </rPr>
      <t>(Optimize Volume based on closest alternatives as proxy for cost)</t>
    </r>
  </si>
  <si>
    <t>Data Table of SWD Practical Utilization / injection Capacity / location DEEP and SHALLOW Locations treated independently</t>
  </si>
  <si>
    <t xml:space="preserve">         SRA Restrictions, permits, pressure utilization, bottomhole pressures considered to determine limiting factor of well.  Query of area BHP used to predict BHP.</t>
  </si>
  <si>
    <r>
      <t xml:space="preserve">Minimizing Risk For </t>
    </r>
    <r>
      <rPr>
        <b/>
        <u/>
        <sz val="11"/>
        <color theme="1"/>
        <rFont val="Calibri"/>
        <family val="2"/>
        <scheme val="minor"/>
      </rPr>
      <t>Deep</t>
    </r>
    <r>
      <rPr>
        <b/>
        <sz val="11"/>
        <color theme="1"/>
        <rFont val="Calibri"/>
        <family val="2"/>
        <scheme val="minor"/>
      </rPr>
      <t xml:space="preserve"> Wells</t>
    </r>
  </si>
  <si>
    <t>Flag (yes/no): If within restricted SRA border - Eliminate well (already eliminated from DB, above)</t>
  </si>
  <si>
    <t>yes/no</t>
  </si>
  <si>
    <t>Historical Proximity</t>
  </si>
  <si>
    <t xml:space="preserve">           Distance to EQ &gt;=3.0</t>
  </si>
  <si>
    <t>Factor 1; Weight 3X</t>
  </si>
  <si>
    <t>Pressure Conduits/Consequences</t>
  </si>
  <si>
    <t xml:space="preserve">           Distance to Known P&amp;A'D Well</t>
  </si>
  <si>
    <t>Factor 3; Weight 2X</t>
  </si>
  <si>
    <t xml:space="preserve">           Distance to Inactive Wells (since 2000')</t>
  </si>
  <si>
    <t>Factor 4; Weight 2X</t>
  </si>
  <si>
    <t xml:space="preserve">           Distance to Fault</t>
  </si>
  <si>
    <t>Factor 2: Weight 3X</t>
  </si>
  <si>
    <t xml:space="preserve"> </t>
  </si>
  <si>
    <t>Code Job (Ideas for Discussion, Draft 0)</t>
  </si>
  <si>
    <t>Cost Factors</t>
  </si>
  <si>
    <t>Transport:  Distance from "Surplus" water Source and cost of pipeline between two</t>
  </si>
  <si>
    <t>Disposal Price/bbl</t>
  </si>
  <si>
    <t>CAPEX / Amortization</t>
  </si>
  <si>
    <r>
      <rPr>
        <b/>
        <sz val="11"/>
        <rFont val="Calibri"/>
        <family val="2"/>
        <scheme val="minor"/>
      </rPr>
      <t>Surplus water</t>
    </r>
    <r>
      <rPr>
        <sz val="11"/>
        <rFont val="Calibri"/>
        <family val="2"/>
        <scheme val="minor"/>
      </rPr>
      <t xml:space="preserve"> = Produced water and flowback water and concentrate from Desal -recycle for completion water - desal water</t>
    </r>
  </si>
  <si>
    <r>
      <rPr>
        <b/>
        <sz val="11"/>
        <color theme="1"/>
        <rFont val="Calibri"/>
        <family val="2"/>
        <scheme val="minor"/>
      </rPr>
      <t>Assumption: Scenario assumes Maximum reuse</t>
    </r>
    <r>
      <rPr>
        <sz val="11"/>
        <color theme="1"/>
        <rFont val="Calibri"/>
        <family val="2"/>
        <scheme val="minor"/>
      </rPr>
      <t>, use of full capacity of all available modeled outlets. We are optimizing around Minimizing Risk and spreading out disposal versus Cost, (and not volumes reused, which is assumed to be maxed out.)</t>
    </r>
  </si>
  <si>
    <t>Capacity Factors</t>
  </si>
  <si>
    <t>Existing Well no upgrade</t>
  </si>
  <si>
    <t>Practical Utilization =  percent of allowable volumes as determined by lower of VU, SPU, BHPU</t>
  </si>
  <si>
    <t>Baseline usage (BPD)</t>
  </si>
  <si>
    <t xml:space="preserve">Incremental Capacity to Practical Max Capacity (BPD) </t>
  </si>
  <si>
    <t>Practical Max Capacity (Volume BPD_</t>
  </si>
  <si>
    <t>Incremental Cost: Transport plus per # / bbl injected</t>
  </si>
  <si>
    <t>Incremental Cost: Transport plus per # / bbl injected plus CAPEX / amortization</t>
  </si>
  <si>
    <t>K06</t>
  </si>
  <si>
    <t>K07</t>
  </si>
  <si>
    <t>K08</t>
  </si>
  <si>
    <t>K09</t>
  </si>
  <si>
    <t>K10</t>
  </si>
  <si>
    <t>K11</t>
  </si>
  <si>
    <t>K12</t>
  </si>
  <si>
    <t>K13</t>
  </si>
  <si>
    <t>K14</t>
  </si>
  <si>
    <t>ND</t>
  </si>
  <si>
    <t>S</t>
  </si>
  <si>
    <t>Completion Cost $M)</t>
  </si>
  <si>
    <t>I0</t>
  </si>
  <si>
    <t>I1</t>
  </si>
  <si>
    <t>K01</t>
  </si>
  <si>
    <t>K02</t>
  </si>
  <si>
    <t>Max Incremental Well Capacity (EMAG) BPD</t>
  </si>
  <si>
    <t xml:space="preserve">E </t>
  </si>
  <si>
    <t>E</t>
  </si>
  <si>
    <t>Disposal Expansion Capital Factor</t>
  </si>
  <si>
    <t>SWDSites</t>
  </si>
  <si>
    <t>SWD Sites</t>
  </si>
  <si>
    <t>Value</t>
  </si>
  <si>
    <t>Table of Disposal Capacity Expansion Cost [USD/(bbl/day)]</t>
  </si>
  <si>
    <t>Table of Disposal Capacity Expansion Increments [bbl/day]</t>
  </si>
  <si>
    <t>Normalized Distance Weighting Factor  (sum = 1.0)</t>
  </si>
  <si>
    <t>Normalized Severity Weighting Factor (sum = 1.0)</t>
  </si>
  <si>
    <t>Distance-based  Reference Risk Factor - Higher is further from Risk, Good (Kilometers).  (The figures are the highest possible score.  Actual measurements input for a given well location cannot exceed these values; they distance is greater it will be capped at these values. )</t>
  </si>
  <si>
    <r>
      <rPr>
        <b/>
        <sz val="11"/>
        <rFont val="Calibri"/>
        <family val="2"/>
        <scheme val="minor"/>
      </rPr>
      <t xml:space="preserve">Distance-based </t>
    </r>
    <r>
      <rPr>
        <sz val="11"/>
        <rFont val="Calibri"/>
        <family val="2"/>
        <scheme val="minor"/>
      </rPr>
      <t xml:space="preserve"> </t>
    </r>
    <r>
      <rPr>
        <b/>
        <sz val="11"/>
        <rFont val="Calibri"/>
        <family val="2"/>
        <scheme val="minor"/>
      </rPr>
      <t>Reference Risk Factor</t>
    </r>
    <r>
      <rPr>
        <sz val="11"/>
        <rFont val="Calibri"/>
        <family val="2"/>
        <scheme val="minor"/>
      </rPr>
      <t xml:space="preserve"> - Higher is further from Risk, Good (Miles).  (The figures are the highest possible score.  Actual measurements input for a given well location cannot exceed these values; they distance is greater it will be capped at these values. )</t>
    </r>
  </si>
  <si>
    <r>
      <rPr>
        <b/>
        <sz val="11"/>
        <rFont val="Calibri"/>
        <family val="2"/>
        <scheme val="minor"/>
      </rPr>
      <t>Severity-based  Reference Risk Factor</t>
    </r>
    <r>
      <rPr>
        <sz val="11"/>
        <rFont val="Calibri"/>
        <family val="2"/>
        <scheme val="minor"/>
      </rPr>
      <t xml:space="preserve"> - Higher is lower Risk, Good.  </t>
    </r>
  </si>
  <si>
    <t xml:space="preserve">     Normalized Distance Weighting Factor  (sum = 1.0)</t>
  </si>
  <si>
    <t xml:space="preserve">    Normalized Severity Weighting Factor (sum = 1.0)</t>
  </si>
  <si>
    <t>Is average pressure around well &lt;.5 psi/ft?  (0=no, 1= yes) (for nearby similar - deep or shallow -  wells)</t>
  </si>
  <si>
    <t>Is average pressure around well &gt;=.7  psi/ft?  (0=no, 1= yes) (for nearby similar - deep or shallow -  wells)</t>
  </si>
  <si>
    <t>Convert Risk Factor from Low to High (1 minus low risk factor)</t>
  </si>
  <si>
    <t>SWD Low Risk Factor  (High number = low risk)</t>
  </si>
  <si>
    <t>Inputs Table 1 - Distance and Severity Weighting Factors</t>
  </si>
  <si>
    <t>Calculations</t>
  </si>
  <si>
    <t>Inputs Table 2 - New Well Location Measurement and Risk Factors</t>
  </si>
  <si>
    <t>Existing / New Drill (E or ND)</t>
  </si>
  <si>
    <t>Proximity to Official Shallow Abandoned Well (Miles)</t>
  </si>
  <si>
    <t>Proximity to Inactive formerly producing Shallow well (Completed prior to 2000) (Miles)</t>
  </si>
  <si>
    <r>
      <t xml:space="preserve">Proximity to Official Abandoned Well </t>
    </r>
    <r>
      <rPr>
        <b/>
        <sz val="11"/>
        <color rgb="FFFF0000"/>
        <rFont val="Calibri"/>
        <family val="2"/>
        <scheme val="minor"/>
      </rPr>
      <t>Assumes all Abandoned Well Risk is Shallow</t>
    </r>
  </si>
  <si>
    <r>
      <t xml:space="preserve">Proximity to Inactive formerly producing well (Completed prior to 2000). </t>
    </r>
    <r>
      <rPr>
        <b/>
        <sz val="11"/>
        <color rgb="FFFF0000"/>
        <rFont val="Calibri"/>
        <family val="2"/>
        <scheme val="minor"/>
      </rPr>
      <t xml:space="preserve"> Assumes all Inactive well risk is shallow.</t>
    </r>
  </si>
  <si>
    <t>SWD Low Risk Factor  (High number = low risk, range from 0 to 1.0)</t>
  </si>
  <si>
    <t>Lower Limit of Acceptable Pressure Gradient (&lt;), psi/ft</t>
  </si>
  <si>
    <t>Upper Limit of Acceptable Pressure Gradient (&gt;=), psi/ft</t>
  </si>
  <si>
    <t>Average PSI/Ft, Similar Wells in Area</t>
  </si>
  <si>
    <r>
      <rPr>
        <b/>
        <sz val="11"/>
        <rFont val="Calibri"/>
        <family val="2"/>
        <scheme val="minor"/>
      </rPr>
      <t>RISK METRIC</t>
    </r>
    <r>
      <rPr>
        <sz val="11"/>
        <rFont val="Calibri"/>
        <family val="2"/>
        <scheme val="minor"/>
      </rPr>
      <t>: Convert Risk Factor from Low to High (1 minus low risk factor)</t>
    </r>
  </si>
  <si>
    <t>Include (1) or Not (0), 1= Outside Safe Pressure Zone</t>
  </si>
  <si>
    <t>Max Distance for Lowest Risk (Miles)</t>
  </si>
  <si>
    <t>Distance from Risk (Miles)</t>
  </si>
  <si>
    <t>Severity of Risk (no unit)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</si>
</sst>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_(&quot;$&quot;* #,##0_);_(&quot;$&quot;* \(#,##0\);_(&quot;$&quot;* &quot;-&quot;??_);_(@_)"/>
    <numFmt numFmtId="165" formatCode="_(* #,##0.00000000_);_(* \(#,##0.00000000\);_(* &quot;-&quot;??_);_(@_)"/>
    <numFmt numFmtId="166" formatCode="#,##0.000_);\(#,##0.000\)"/>
  </numFmts>
  <fonts count="16" x14ac:knownFonts="1">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i/>
      <sz val="11"/>
      <color theme="1"/>
      <name val="Calibri"/>
      <family val="2"/>
      <scheme val="minor"/>
    </font>
    <font>
      <b/>
      <u/>
      <sz val="11"/>
      <color theme="1"/>
      <name val="Calibri"/>
      <family val="2"/>
      <scheme val="minor"/>
    </font>
    <font>
      <b/>
      <sz val="11"/>
      <name val="Calibri"/>
      <family val="2"/>
      <scheme val="minor"/>
    </font>
    <font>
      <u/>
      <sz val="11"/>
      <name val="Calibri"/>
      <family val="2"/>
      <scheme val="minor"/>
    </font>
    <font>
      <u/>
      <sz val="11"/>
      <color theme="1"/>
      <name val="Calibri"/>
      <family val="2"/>
      <scheme val="minor"/>
    </font>
    <font>
      <sz val="12"/>
      <color theme="1"/>
      <name val="Times New Roman"/>
      <family val="1"/>
    </font>
    <font>
      <sz val="8"/>
      <name val="Calibri"/>
      <family val="2"/>
      <scheme val="minor"/>
    </font>
    <font>
      <b/>
      <sz val="12"/>
      <color theme="1"/>
      <name val="Times New Roman"/>
      <family val="1"/>
    </font>
    <font>
      <sz val="11"/>
      <color rgb="FF00B050"/>
      <name val="Calibri"/>
      <family val="2"/>
      <scheme val="minor"/>
    </font>
    <font>
      <b/>
      <sz val="11"/>
      <color rgb="FF00B050"/>
      <name val="Calibri"/>
      <family val="2"/>
      <scheme val="minor"/>
    </font>
    <font>
      <b/>
      <sz val="11"/>
      <color rgb="FFFF0000"/>
      <name val="Calibri"/>
      <family val="2"/>
      <scheme val="minor"/>
    </font>
    <font>
      <sz val="9"/>
      <color indexed="81"/>
      <name val="Tahoma"/>
      <charset val="1"/>
    </font>
  </fonts>
  <fills count="8">
    <fill>
      <patternFill patternType="none"/>
    </fill>
    <fill>
      <patternFill patternType="gray125"/>
    </fill>
    <fill>
      <patternFill patternType="solid">
        <fgColor theme="8" tint="0.79998168889431442"/>
        <bgColor indexed="64"/>
      </patternFill>
    </fill>
    <fill>
      <patternFill patternType="solid">
        <fgColor theme="0"/>
        <bgColor indexed="64"/>
      </patternFill>
    </fill>
    <fill>
      <patternFill patternType="solid">
        <fgColor theme="5" tint="0.79998168889431442"/>
        <bgColor indexed="64"/>
      </patternFill>
    </fill>
    <fill>
      <patternFill patternType="solid">
        <fgColor theme="4" tint="0.79998168889431442"/>
        <bgColor indexed="64"/>
      </patternFill>
    </fill>
    <fill>
      <patternFill patternType="solid">
        <fgColor theme="4" tint="0.59999389629810485"/>
        <bgColor indexed="64"/>
      </patternFill>
    </fill>
    <fill>
      <patternFill patternType="solid">
        <fgColor theme="5" tint="0.59999389629810485"/>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right style="medium">
        <color rgb="FFFFFFFF"/>
      </right>
      <top style="thick">
        <color rgb="FFFFFFFF"/>
      </top>
      <bottom style="medium">
        <color rgb="FFFFFFFF"/>
      </bottom>
      <diagonal/>
    </border>
    <border>
      <left style="medium">
        <color rgb="FFFFFFFF"/>
      </left>
      <right style="medium">
        <color rgb="FFFFFFFF"/>
      </right>
      <top style="medium">
        <color rgb="FFFFFFFF"/>
      </top>
      <bottom style="medium">
        <color rgb="FFFFFFFF"/>
      </bottom>
      <diagonal/>
    </border>
    <border>
      <left style="medium">
        <color rgb="FFFFFFFF"/>
      </left>
      <right style="medium">
        <color rgb="FFFFFFFF"/>
      </right>
      <top/>
      <bottom/>
      <diagonal/>
    </border>
    <border>
      <left style="medium">
        <color rgb="FFFFFFFF"/>
      </left>
      <right style="medium">
        <color rgb="FFFFFFFF"/>
      </right>
      <top style="medium">
        <color rgb="FFFFFFFF"/>
      </top>
      <bottom/>
      <diagonal/>
    </border>
    <border>
      <left style="medium">
        <color indexed="64"/>
      </left>
      <right style="thin">
        <color indexed="64"/>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top style="medium">
        <color indexed="64"/>
      </top>
      <bottom/>
      <diagonal/>
    </border>
    <border>
      <left style="medium">
        <color indexed="64"/>
      </left>
      <right style="thin">
        <color indexed="64"/>
      </right>
      <top/>
      <bottom/>
      <diagonal/>
    </border>
    <border>
      <left style="thin">
        <color indexed="64"/>
      </left>
      <right/>
      <top/>
      <bottom/>
      <diagonal/>
    </border>
    <border>
      <left/>
      <right style="medium">
        <color indexed="64"/>
      </right>
      <top/>
      <bottom/>
      <diagonal/>
    </border>
    <border>
      <left style="medium">
        <color indexed="64"/>
      </left>
      <right style="thin">
        <color indexed="64"/>
      </right>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4">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cellStyleXfs>
  <cellXfs count="84">
    <xf numFmtId="0" fontId="0" fillId="0" borderId="0" xfId="0"/>
    <xf numFmtId="0" fontId="0" fillId="0" borderId="0" xfId="0" applyAlignment="1">
      <alignment horizontal="center"/>
    </xf>
    <xf numFmtId="0" fontId="3" fillId="0" borderId="0" xfId="0" applyFont="1"/>
    <xf numFmtId="44" fontId="3" fillId="0" borderId="0" xfId="2" applyFont="1"/>
    <xf numFmtId="0" fontId="3" fillId="0" borderId="0" xfId="0" applyFont="1" applyAlignment="1">
      <alignment horizontal="center"/>
    </xf>
    <xf numFmtId="0" fontId="0" fillId="0" borderId="0" xfId="0" applyAlignment="1">
      <alignment horizontal="center" wrapText="1"/>
    </xf>
    <xf numFmtId="0" fontId="0" fillId="0" borderId="0" xfId="0" applyAlignment="1">
      <alignment wrapText="1"/>
    </xf>
    <xf numFmtId="0" fontId="3" fillId="0" borderId="1" xfId="0" applyFont="1" applyBorder="1" applyAlignment="1">
      <alignment wrapText="1"/>
    </xf>
    <xf numFmtId="0" fontId="3" fillId="0" borderId="1" xfId="0" applyFont="1" applyBorder="1" applyAlignment="1">
      <alignment horizontal="center" wrapText="1"/>
    </xf>
    <xf numFmtId="39" fontId="3" fillId="0" borderId="0" xfId="1" applyNumberFormat="1" applyFont="1" applyAlignment="1">
      <alignment horizontal="center" vertical="center"/>
    </xf>
    <xf numFmtId="0" fontId="3" fillId="0" borderId="1" xfId="0" applyFont="1" applyBorder="1"/>
    <xf numFmtId="0" fontId="3" fillId="0" borderId="0" xfId="0" applyFont="1" applyAlignment="1">
      <alignment wrapText="1"/>
    </xf>
    <xf numFmtId="0" fontId="3" fillId="0" borderId="1" xfId="0" applyFont="1" applyBorder="1" applyAlignment="1">
      <alignment horizontal="left" vertical="center" wrapText="1" readingOrder="1"/>
    </xf>
    <xf numFmtId="0" fontId="3" fillId="0" borderId="2" xfId="0" applyFont="1" applyBorder="1" applyAlignment="1">
      <alignment horizontal="left" vertical="center" wrapText="1" readingOrder="1"/>
    </xf>
    <xf numFmtId="0" fontId="3" fillId="0" borderId="3" xfId="0" applyFont="1" applyBorder="1" applyAlignment="1">
      <alignment horizontal="left" vertical="center" wrapText="1" readingOrder="1"/>
    </xf>
    <xf numFmtId="0" fontId="3" fillId="0" borderId="4" xfId="0" applyFont="1" applyBorder="1" applyAlignment="1">
      <alignment horizontal="left" vertical="center" wrapText="1" readingOrder="1"/>
    </xf>
    <xf numFmtId="0" fontId="2" fillId="0" borderId="0" xfId="0" applyFont="1"/>
    <xf numFmtId="0" fontId="3" fillId="2" borderId="0" xfId="0" applyFont="1" applyFill="1" applyAlignment="1">
      <alignment wrapText="1"/>
    </xf>
    <xf numFmtId="0" fontId="3" fillId="2" borderId="0" xfId="0" applyFont="1" applyFill="1"/>
    <xf numFmtId="0" fontId="3" fillId="2" borderId="0" xfId="0" applyFont="1" applyFill="1" applyAlignment="1">
      <alignment horizontal="center"/>
    </xf>
    <xf numFmtId="0" fontId="0" fillId="0" borderId="0" xfId="0" quotePrefix="1"/>
    <xf numFmtId="0" fontId="4" fillId="0" borderId="0" xfId="0" quotePrefix="1" applyFont="1"/>
    <xf numFmtId="0" fontId="4" fillId="0" borderId="0" xfId="0" applyFont="1"/>
    <xf numFmtId="0" fontId="0" fillId="3" borderId="0" xfId="0" applyFill="1" applyAlignment="1">
      <alignment horizontal="left" indent="1"/>
    </xf>
    <xf numFmtId="0" fontId="0" fillId="3" borderId="0" xfId="0" applyFill="1"/>
    <xf numFmtId="0" fontId="0" fillId="3" borderId="0" xfId="0" applyFill="1" applyAlignment="1">
      <alignment horizontal="center" wrapText="1"/>
    </xf>
    <xf numFmtId="0" fontId="6" fillId="2" borderId="0" xfId="0" applyFont="1" applyFill="1"/>
    <xf numFmtId="0" fontId="6" fillId="0" borderId="5" xfId="0" applyFont="1" applyBorder="1" applyAlignment="1">
      <alignment horizontal="left" vertical="center" wrapText="1" readingOrder="1"/>
    </xf>
    <xf numFmtId="0" fontId="6" fillId="0" borderId="0" xfId="0" applyFont="1" applyAlignment="1">
      <alignment horizontal="left" vertical="center" wrapText="1" readingOrder="1"/>
    </xf>
    <xf numFmtId="0" fontId="6" fillId="0" borderId="0" xfId="0" applyFont="1" applyAlignment="1">
      <alignment horizontal="center" vertical="center" wrapText="1" readingOrder="1"/>
    </xf>
    <xf numFmtId="0" fontId="6" fillId="0" borderId="0" xfId="0" applyFont="1" applyAlignment="1">
      <alignment horizontal="center" wrapText="1"/>
    </xf>
    <xf numFmtId="0" fontId="6" fillId="0" borderId="0" xfId="0" applyFont="1" applyAlignment="1">
      <alignment wrapText="1"/>
    </xf>
    <xf numFmtId="0" fontId="3" fillId="0" borderId="0" xfId="0" applyFont="1" applyAlignment="1">
      <alignment horizontal="left" vertical="center" wrapText="1" readingOrder="1"/>
    </xf>
    <xf numFmtId="0" fontId="3" fillId="0" borderId="0" xfId="0" applyFont="1" applyAlignment="1">
      <alignment horizontal="center" vertical="center" wrapText="1" readingOrder="1"/>
    </xf>
    <xf numFmtId="0" fontId="7" fillId="0" borderId="0" xfId="0" applyFont="1" applyAlignment="1">
      <alignment horizontal="center" vertical="center" wrapText="1" readingOrder="1"/>
    </xf>
    <xf numFmtId="9" fontId="3" fillId="0" borderId="0" xfId="3" applyFont="1" applyBorder="1" applyAlignment="1">
      <alignment horizontal="center"/>
    </xf>
    <xf numFmtId="0" fontId="3" fillId="0" borderId="0" xfId="0" applyFont="1" applyAlignment="1">
      <alignment horizontal="left"/>
    </xf>
    <xf numFmtId="9" fontId="3" fillId="0" borderId="0" xfId="0" applyNumberFormat="1" applyFont="1" applyAlignment="1">
      <alignment horizontal="center"/>
    </xf>
    <xf numFmtId="44" fontId="3" fillId="0" borderId="0" xfId="0" applyNumberFormat="1" applyFont="1" applyAlignment="1">
      <alignment horizontal="center"/>
    </xf>
    <xf numFmtId="0" fontId="6" fillId="0" borderId="0" xfId="0" applyFont="1"/>
    <xf numFmtId="0" fontId="8" fillId="0" borderId="0" xfId="0" applyFont="1"/>
    <xf numFmtId="0" fontId="5" fillId="0" borderId="0" xfId="0" applyFont="1"/>
    <xf numFmtId="0" fontId="9" fillId="0" borderId="0" xfId="0" applyFont="1"/>
    <xf numFmtId="164" fontId="0" fillId="0" borderId="0" xfId="2" applyNumberFormat="1" applyFont="1"/>
    <xf numFmtId="0" fontId="11" fillId="4" borderId="6" xfId="0" applyFont="1" applyFill="1" applyBorder="1" applyAlignment="1">
      <alignment horizontal="center"/>
    </xf>
    <xf numFmtId="0" fontId="11" fillId="4" borderId="7" xfId="0" applyFont="1" applyFill="1" applyBorder="1" applyAlignment="1">
      <alignment horizontal="center"/>
    </xf>
    <xf numFmtId="0" fontId="11" fillId="4" borderId="8" xfId="0" applyFont="1" applyFill="1" applyBorder="1" applyAlignment="1">
      <alignment horizontal="center"/>
    </xf>
    <xf numFmtId="3" fontId="9" fillId="4" borderId="9" xfId="0" applyNumberFormat="1" applyFont="1" applyFill="1" applyBorder="1" applyAlignment="1">
      <alignment horizontal="center"/>
    </xf>
    <xf numFmtId="3" fontId="9" fillId="4" borderId="8" xfId="0" applyNumberFormat="1" applyFont="1" applyFill="1" applyBorder="1" applyAlignment="1">
      <alignment horizontal="center"/>
    </xf>
    <xf numFmtId="0" fontId="11" fillId="4" borderId="10" xfId="0" applyFont="1" applyFill="1" applyBorder="1" applyAlignment="1">
      <alignment horizontal="center"/>
    </xf>
    <xf numFmtId="3" fontId="9" fillId="4" borderId="11" xfId="0" applyNumberFormat="1" applyFont="1" applyFill="1" applyBorder="1" applyAlignment="1">
      <alignment horizontal="center"/>
    </xf>
    <xf numFmtId="3" fontId="9" fillId="4" borderId="12" xfId="0" applyNumberFormat="1" applyFont="1" applyFill="1" applyBorder="1" applyAlignment="1">
      <alignment horizontal="center"/>
    </xf>
    <xf numFmtId="0" fontId="11" fillId="4" borderId="13" xfId="0" applyFont="1" applyFill="1" applyBorder="1" applyAlignment="1">
      <alignment horizontal="center"/>
    </xf>
    <xf numFmtId="3" fontId="9" fillId="4" borderId="14" xfId="0" applyNumberFormat="1" applyFont="1" applyFill="1" applyBorder="1" applyAlignment="1">
      <alignment horizontal="center"/>
    </xf>
    <xf numFmtId="3" fontId="9" fillId="4" borderId="15" xfId="0" applyNumberFormat="1" applyFont="1" applyFill="1" applyBorder="1" applyAlignment="1">
      <alignment horizontal="center"/>
    </xf>
    <xf numFmtId="0" fontId="3" fillId="0" borderId="0" xfId="0" applyFont="1" applyAlignment="1">
      <alignment horizontal="center" vertical="top" wrapText="1"/>
    </xf>
    <xf numFmtId="165" fontId="3" fillId="5" borderId="0" xfId="1" applyNumberFormat="1" applyFont="1" applyFill="1"/>
    <xf numFmtId="0" fontId="0" fillId="6" borderId="0" xfId="0" applyFill="1"/>
    <xf numFmtId="0" fontId="3" fillId="6" borderId="0" xfId="0" applyFont="1" applyFill="1"/>
    <xf numFmtId="0" fontId="0" fillId="6" borderId="0" xfId="0" applyFill="1" applyAlignment="1">
      <alignment horizontal="center"/>
    </xf>
    <xf numFmtId="0" fontId="3" fillId="6" borderId="0" xfId="0" applyFont="1" applyFill="1" applyAlignment="1">
      <alignment horizontal="center"/>
    </xf>
    <xf numFmtId="39" fontId="3" fillId="6" borderId="0" xfId="1" applyNumberFormat="1" applyFont="1" applyFill="1" applyAlignment="1">
      <alignment horizontal="center" vertical="center"/>
    </xf>
    <xf numFmtId="166" fontId="3" fillId="6" borderId="0" xfId="1" applyNumberFormat="1" applyFont="1" applyFill="1" applyAlignment="1">
      <alignment horizontal="center" vertical="center"/>
    </xf>
    <xf numFmtId="43" fontId="12" fillId="0" borderId="0" xfId="0" applyNumberFormat="1" applyFont="1"/>
    <xf numFmtId="0" fontId="12" fillId="0" borderId="0" xfId="0" applyFont="1"/>
    <xf numFmtId="0" fontId="3" fillId="0" borderId="0" xfId="0" applyFont="1" applyAlignment="1">
      <alignment horizontal="left" vertical="top" wrapText="1"/>
    </xf>
    <xf numFmtId="44" fontId="3" fillId="0" borderId="0" xfId="2" applyFont="1" applyAlignment="1">
      <alignment horizontal="left" vertical="top" wrapText="1"/>
    </xf>
    <xf numFmtId="44" fontId="3" fillId="0" borderId="0" xfId="2" applyFont="1" applyFill="1"/>
    <xf numFmtId="39" fontId="12" fillId="0" borderId="0" xfId="1" applyNumberFormat="1" applyFont="1" applyFill="1" applyAlignment="1">
      <alignment horizontal="center" vertical="center"/>
    </xf>
    <xf numFmtId="0" fontId="0" fillId="0" borderId="0" xfId="0" applyAlignment="1">
      <alignment horizontal="left" indent="1"/>
    </xf>
    <xf numFmtId="39" fontId="3" fillId="0" borderId="0" xfId="1" applyNumberFormat="1" applyFont="1" applyFill="1" applyAlignment="1">
      <alignment horizontal="center" vertical="center"/>
    </xf>
    <xf numFmtId="0" fontId="3" fillId="0" borderId="0" xfId="0" applyFont="1" applyAlignment="1">
      <alignment vertical="top" wrapText="1"/>
    </xf>
    <xf numFmtId="0" fontId="13" fillId="0" borderId="0" xfId="0" applyFont="1" applyAlignment="1">
      <alignment wrapText="1"/>
    </xf>
    <xf numFmtId="0" fontId="12" fillId="7" borderId="0" xfId="0" applyFont="1" applyFill="1" applyAlignment="1">
      <alignment horizontal="center"/>
    </xf>
    <xf numFmtId="43" fontId="12" fillId="7" borderId="16" xfId="0" applyNumberFormat="1" applyFont="1" applyFill="1" applyBorder="1" applyAlignment="1">
      <alignment horizontal="center"/>
    </xf>
    <xf numFmtId="43" fontId="12" fillId="7" borderId="17" xfId="0" applyNumberFormat="1" applyFont="1" applyFill="1" applyBorder="1" applyAlignment="1">
      <alignment horizontal="center"/>
    </xf>
    <xf numFmtId="43" fontId="12" fillId="7" borderId="18" xfId="0" applyNumberFormat="1" applyFont="1" applyFill="1" applyBorder="1" applyAlignment="1">
      <alignment horizontal="center"/>
    </xf>
    <xf numFmtId="0" fontId="3" fillId="0" borderId="0" xfId="0" applyFont="1" applyAlignment="1">
      <alignment horizontal="center" wrapText="1"/>
    </xf>
    <xf numFmtId="44" fontId="3" fillId="6" borderId="0" xfId="2" applyFont="1" applyFill="1"/>
    <xf numFmtId="0" fontId="6" fillId="0" borderId="0" xfId="0" applyFont="1" applyAlignment="1">
      <alignment horizontal="center"/>
    </xf>
    <xf numFmtId="0" fontId="3" fillId="0" borderId="0" xfId="0" applyFont="1" applyAlignment="1">
      <alignment horizontal="right"/>
    </xf>
    <xf numFmtId="0" fontId="3" fillId="0" borderId="0" xfId="0" applyFont="1" applyAlignment="1">
      <alignment horizontal="center" vertical="top" wrapText="1"/>
    </xf>
    <xf numFmtId="0" fontId="0" fillId="0" borderId="0" xfId="0" applyAlignment="1">
      <alignment wrapText="1"/>
    </xf>
    <xf numFmtId="39" fontId="12" fillId="0" borderId="1" xfId="0" applyNumberFormat="1" applyFont="1" applyBorder="1" applyAlignment="1">
      <alignment horizontal="center"/>
    </xf>
  </cellXfs>
  <cellStyles count="4">
    <cellStyle name="Comma" xfId="1" builtinId="3"/>
    <cellStyle name="Currency" xfId="2" builtinId="4"/>
    <cellStyle name="Normal" xfId="0" builtinId="0"/>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6</xdr:col>
      <xdr:colOff>209550</xdr:colOff>
      <xdr:row>1</xdr:row>
      <xdr:rowOff>295275</xdr:rowOff>
    </xdr:from>
    <xdr:to>
      <xdr:col>7</xdr:col>
      <xdr:colOff>1276350</xdr:colOff>
      <xdr:row>5</xdr:row>
      <xdr:rowOff>104775</xdr:rowOff>
    </xdr:to>
    <xdr:sp macro="" textlink="">
      <xdr:nvSpPr>
        <xdr:cNvPr id="3" name="TextBox 2">
          <a:extLst>
            <a:ext uri="{FF2B5EF4-FFF2-40B4-BE49-F238E27FC236}">
              <a16:creationId xmlns:a16="http://schemas.microsoft.com/office/drawing/2014/main" id="{1312F655-B73A-351F-EBCB-22D8788356AA}"/>
            </a:ext>
          </a:extLst>
        </xdr:cNvPr>
        <xdr:cNvSpPr txBox="1"/>
      </xdr:nvSpPr>
      <xdr:spPr>
        <a:xfrm>
          <a:off x="209550" y="485775"/>
          <a:ext cx="1981200" cy="23241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Blue Shaded could be User Input Data.  </a:t>
          </a:r>
        </a:p>
        <a:p>
          <a:endParaRPr lang="en-US" sz="1100"/>
        </a:p>
        <a:p>
          <a:r>
            <a:rPr lang="en-US" sz="1100"/>
            <a:t>Green Font is calculated Values</a:t>
          </a:r>
        </a:p>
        <a:p>
          <a:endParaRPr lang="en-US" sz="1100"/>
        </a:p>
        <a:p>
          <a:r>
            <a:rPr lang="en-US" sz="1100"/>
            <a:t>Peach Shading is ultimate output of all logic.</a:t>
          </a:r>
        </a:p>
      </xdr:txBody>
    </xdr:sp>
    <xdr:clientData/>
  </xdr:twoCellAnchor>
</xdr:wsDr>
</file>

<file path=xl/persons/person.xml><?xml version="1.0" encoding="utf-8"?>
<personList xmlns="http://schemas.microsoft.com/office/spreadsheetml/2018/threadedcomments" xmlns:x="http://schemas.openxmlformats.org/spreadsheetml/2006/main">
  <person displayName="Huidae Cho" id="{07B35989-DFD2-4293-B145-CD4B4799C564}" userId="S::hcho@nmsu.edu::1035f11f-468d-46ad-9a20-300449cc530e"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3" dT="2023-11-22T15:59:03.14" personId="{07B35989-DFD2-4293-B145-CD4B4799C564}" id="{D0C0BE56-5B31-4F6E-9B0E-BF8DF7E8894E}">
    <text>orphan_well_distance_risk_factor</text>
  </threadedComment>
  <threadedComment ref="M3" dT="2023-11-22T15:59:46.70" personId="{07B35989-DFD2-4293-B145-CD4B4799C564}" id="{BF3FC4D7-DA8D-48CA-A512-0EC71617C9C2}">
    <text>inactive_well_distance_risk_factor</text>
  </threadedComment>
  <threadedComment ref="N3" dT="2023-11-22T16:00:23.04" personId="{07B35989-DFD2-4293-B145-CD4B4799C564}" id="{C7643A45-51B6-44E0-B0B0-86DEE618156E}">
    <text>EQ_distance_risk_factor</text>
  </threadedComment>
  <threadedComment ref="O3" dT="2023-11-22T16:00:48.90" personId="{07B35989-DFD2-4293-B145-CD4B4799C564}" id="{73638B2A-2067-49BF-9AF5-0B59C77BD4E6}">
    <text>fault_distance_risk_factor</text>
  </threadedComment>
  <threadedComment ref="P3" dT="2023-11-22T16:01:57.36" personId="{07B35989-DFD2-4293-B145-CD4B4799C564}" id="{859022DC-3EF3-4D17-A504-2FC92C72C2DF}">
    <text>HP_LP_distance_risk_factor</text>
  </threadedComment>
  <threadedComment ref="L4" dT="2023-11-22T15:59:27.63" personId="{07B35989-DFD2-4293-B145-CD4B4799C564}" id="{9A1F8EEA-FF34-40C1-8A47-FBF67B60496A}">
    <text>orphan_well_severity_risk_factor</text>
  </threadedComment>
  <threadedComment ref="M4" dT="2023-11-22T16:00:08.22" personId="{07B35989-DFD2-4293-B145-CD4B4799C564}" id="{7FFF1806-C901-4617-BEE7-4990B76D4DC3}">
    <text>inactive_well_severity_risk_factor</text>
  </threadedComment>
  <threadedComment ref="N4" dT="2023-11-22T16:00:35.70" personId="{07B35989-DFD2-4293-B145-CD4B4799C564}" id="{3A370739-83D1-4B40-9E91-9CA433E9A9B6}">
    <text>EQ_severity_risk_factor</text>
  </threadedComment>
  <threadedComment ref="O4" dT="2023-11-22T16:01:02.62" personId="{07B35989-DFD2-4293-B145-CD4B4799C564}" id="{4FC7E69D-3BF4-493C-BF99-5BE7A6F8DAFF}">
    <text>fault_severity_risk_factor</text>
  </threadedComment>
  <threadedComment ref="P4" dT="2023-11-22T16:02:10.34" personId="{07B35989-DFD2-4293-B145-CD4B4799C564}" id="{04918B4E-A727-4E26-AA75-2A84FE54E022}">
    <text>HP_LP_severity_risk_factor</text>
  </threadedComment>
  <threadedComment ref="L5" dT="2023-11-22T16:02:24.78" personId="{07B35989-DFD2-4293-B145-CD4B4799C564}" id="{3E68DBA8-8F00-4356-A6EE-6FD4C1182929}">
    <text>LP_threshold</text>
  </threadedComment>
  <threadedComment ref="L6" dT="2023-11-22T16:02:36.12" personId="{07B35989-DFD2-4293-B145-CD4B4799C564}" id="{880650DD-0AD0-4BCA-92FC-67950CAA50F9}">
    <text>HP_threshold</text>
  </threadedComment>
  <threadedComment ref="I9" dT="2023-11-22T16:03:03.10" personId="{07B35989-DFD2-4293-B145-CD4B4799C564}" id="{70220365-32F5-4995-8E0D-DAB590A48693}">
    <text>SWDDepp</text>
  </threadedComment>
  <threadedComment ref="K9" dT="2023-11-22T16:03:18.75" personId="{07B35989-DFD2-4293-B145-CD4B4799C564}" id="{2ED87E26-B191-4A3D-B3CA-9305D74D0EB6}">
    <text>SWDAveragePressure</text>
  </threadedComment>
  <threadedComment ref="L9" dT="2023-11-22T16:03:44.14" personId="{07B35989-DFD2-4293-B145-CD4B4799C564}" id="{A7077726-4EE0-47BF-9489-CDD037F88350}">
    <text>SWDProxOrphanWell</text>
  </threadedComment>
  <threadedComment ref="M9" dT="2023-11-22T16:03:55.23" personId="{07B35989-DFD2-4293-B145-CD4B4799C564}" id="{26E894EC-1BC8-4A54-A66E-BEAE5A1472A5}">
    <text>SWDProxInactiveWell</text>
  </threadedComment>
  <threadedComment ref="N9" dT="2023-11-22T16:04:04.68" personId="{07B35989-DFD2-4293-B145-CD4B4799C564}" id="{0DD34EC2-E577-4C1E-AB18-C0A43AE71EC6}">
    <text>SWDProxEQ</text>
  </threadedComment>
  <threadedComment ref="O9" dT="2023-11-22T16:04:14.60" personId="{07B35989-DFD2-4293-B145-CD4B4799C564}" id="{2414C9D3-3B69-4C8F-BDA8-CC050B13E32C}">
    <text>SWDProxFault</text>
  </threadedComment>
  <threadedComment ref="P9" dT="2023-11-22T16:04:41.33" personId="{07B35989-DFD2-4293-B145-CD4B4799C564}" id="{1D17E194-81A1-4B24-9629-37B8D9213CA1}">
    <text>SWDProxHpOrLpWell</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18C75A-530E-4B7A-8356-8D46E7FF30B4}">
  <dimension ref="A1:AE91"/>
  <sheetViews>
    <sheetView tabSelected="1" topLeftCell="G1" workbookViewId="0">
      <selection activeCell="S29" sqref="S29"/>
    </sheetView>
  </sheetViews>
  <sheetFormatPr defaultRowHeight="15" x14ac:dyDescent="0.25"/>
  <cols>
    <col min="1" max="1" width="68.140625" hidden="1" customWidth="1"/>
    <col min="2" max="3" width="8.85546875" hidden="1" customWidth="1"/>
    <col min="4" max="4" width="23.7109375" style="1" hidden="1" customWidth="1"/>
    <col min="5" max="5" width="0" style="1" hidden="1" customWidth="1"/>
    <col min="6" max="6" width="0" hidden="1" customWidth="1"/>
    <col min="7" max="7" width="13.7109375" bestFit="1" customWidth="1"/>
    <col min="8" max="8" width="28.5703125" style="2" customWidth="1"/>
    <col min="9" max="9" width="47.5703125" style="2" bestFit="1" customWidth="1"/>
    <col min="10" max="10" width="12.85546875" style="2" customWidth="1"/>
    <col min="11" max="11" width="28.85546875" style="4" customWidth="1"/>
    <col min="12" max="13" width="30.7109375" style="2" customWidth="1"/>
    <col min="14" max="14" width="17.85546875" style="4" customWidth="1"/>
    <col min="15" max="15" width="26.7109375" style="2" customWidth="1"/>
    <col min="16" max="17" width="31.42578125" style="2" customWidth="1"/>
    <col min="18" max="18" width="16.140625" style="2" customWidth="1"/>
    <col min="19" max="19" width="14.5703125" style="2" customWidth="1"/>
    <col min="20" max="20" width="13.28515625" customWidth="1"/>
    <col min="22" max="22" width="15.85546875" customWidth="1"/>
    <col min="23" max="23" width="12.5703125" customWidth="1"/>
    <col min="24" max="24" width="13.5703125" customWidth="1"/>
    <col min="25" max="25" width="11.85546875" customWidth="1"/>
  </cols>
  <sheetData>
    <row r="1" spans="1:20" x14ac:dyDescent="0.25">
      <c r="G1" s="2" t="s">
        <v>109</v>
      </c>
      <c r="N1" s="2"/>
      <c r="O1" s="4"/>
      <c r="T1" s="2"/>
    </row>
    <row r="2" spans="1:20" ht="42" customHeight="1" x14ac:dyDescent="0.25">
      <c r="D2" s="5"/>
      <c r="E2" s="5"/>
      <c r="F2" s="6"/>
      <c r="G2" s="2"/>
      <c r="L2" s="12" t="s">
        <v>113</v>
      </c>
      <c r="M2" s="12" t="s">
        <v>114</v>
      </c>
      <c r="N2" s="7" t="s">
        <v>7</v>
      </c>
      <c r="O2" s="8" t="s">
        <v>8</v>
      </c>
      <c r="P2" s="7" t="s">
        <v>9</v>
      </c>
      <c r="T2" s="2"/>
    </row>
    <row r="3" spans="1:20" ht="64.5" customHeight="1" x14ac:dyDescent="0.25">
      <c r="D3" s="5"/>
      <c r="E3" s="5"/>
      <c r="F3" s="6"/>
      <c r="G3" s="6"/>
      <c r="H3" s="6"/>
      <c r="I3" s="65" t="s">
        <v>123</v>
      </c>
      <c r="J3" s="66" t="s">
        <v>124</v>
      </c>
      <c r="K3" s="55" t="s">
        <v>101</v>
      </c>
      <c r="L3" s="62">
        <v>1.86</v>
      </c>
      <c r="M3" s="62">
        <v>1.86</v>
      </c>
      <c r="N3" s="62">
        <v>5.59</v>
      </c>
      <c r="O3" s="62">
        <v>5.59</v>
      </c>
      <c r="P3" s="62">
        <v>1.86</v>
      </c>
      <c r="T3" s="2"/>
    </row>
    <row r="4" spans="1:20" ht="76.5" customHeight="1" x14ac:dyDescent="0.25">
      <c r="D4" s="5"/>
      <c r="E4" s="5"/>
      <c r="F4" s="6"/>
      <c r="G4" s="6"/>
      <c r="H4" s="6"/>
      <c r="I4" s="65" t="s">
        <v>12</v>
      </c>
      <c r="J4" s="66" t="s">
        <v>125</v>
      </c>
      <c r="K4" s="55" t="s">
        <v>102</v>
      </c>
      <c r="L4" s="61">
        <v>2</v>
      </c>
      <c r="M4" s="61">
        <v>2</v>
      </c>
      <c r="N4" s="61">
        <v>1</v>
      </c>
      <c r="O4" s="61">
        <v>1</v>
      </c>
      <c r="P4" s="61">
        <v>2</v>
      </c>
      <c r="T4" s="2"/>
    </row>
    <row r="5" spans="1:20" x14ac:dyDescent="0.25">
      <c r="H5"/>
      <c r="K5" s="80" t="s">
        <v>118</v>
      </c>
      <c r="L5" s="60">
        <v>0.5</v>
      </c>
      <c r="N5" s="2"/>
      <c r="O5" s="4"/>
      <c r="T5" s="2"/>
    </row>
    <row r="6" spans="1:20" x14ac:dyDescent="0.25">
      <c r="H6"/>
      <c r="K6" s="80" t="s">
        <v>119</v>
      </c>
      <c r="L6" s="60">
        <v>0.7</v>
      </c>
      <c r="N6" s="2"/>
      <c r="O6" s="4"/>
      <c r="T6" s="2"/>
    </row>
    <row r="7" spans="1:20" x14ac:dyDescent="0.25">
      <c r="H7"/>
      <c r="N7" s="2"/>
      <c r="O7" s="4"/>
      <c r="T7" s="2"/>
    </row>
    <row r="8" spans="1:20" x14ac:dyDescent="0.25">
      <c r="G8" s="2" t="s">
        <v>111</v>
      </c>
      <c r="N8" s="2"/>
      <c r="O8" s="4"/>
      <c r="T8" s="2"/>
    </row>
    <row r="9" spans="1:20" ht="105" x14ac:dyDescent="0.25">
      <c r="A9" t="s">
        <v>19</v>
      </c>
      <c r="C9" t="s">
        <v>16</v>
      </c>
      <c r="D9" s="5"/>
      <c r="E9" s="5" t="s">
        <v>17</v>
      </c>
      <c r="F9" s="6"/>
      <c r="G9" s="6"/>
      <c r="H9" s="71" t="s">
        <v>20</v>
      </c>
      <c r="I9" s="71" t="s">
        <v>21</v>
      </c>
      <c r="J9" s="71" t="s">
        <v>112</v>
      </c>
      <c r="K9" s="55" t="s">
        <v>120</v>
      </c>
      <c r="L9" s="12" t="s">
        <v>113</v>
      </c>
      <c r="M9" s="12" t="s">
        <v>114</v>
      </c>
      <c r="N9" s="12" t="s">
        <v>25</v>
      </c>
      <c r="O9" s="12" t="s">
        <v>26</v>
      </c>
      <c r="P9" s="12" t="s">
        <v>27</v>
      </c>
      <c r="Q9" s="7" t="s">
        <v>105</v>
      </c>
      <c r="R9" s="7" t="s">
        <v>106</v>
      </c>
      <c r="T9" s="2"/>
    </row>
    <row r="10" spans="1:20" x14ac:dyDescent="0.25">
      <c r="A10" s="16" t="s">
        <v>32</v>
      </c>
      <c r="D10" s="5" t="s">
        <v>17</v>
      </c>
      <c r="E10" s="5"/>
      <c r="F10" s="6"/>
      <c r="G10" s="6"/>
      <c r="H10" s="57" t="s">
        <v>73</v>
      </c>
      <c r="I10" s="57" t="s">
        <v>83</v>
      </c>
      <c r="J10" s="58" t="s">
        <v>91</v>
      </c>
      <c r="K10" s="59">
        <v>0.72</v>
      </c>
      <c r="L10" s="59">
        <v>0.15</v>
      </c>
      <c r="M10" s="59">
        <v>2.17</v>
      </c>
      <c r="N10" s="59">
        <v>3.8</v>
      </c>
      <c r="O10" s="59">
        <v>4.8</v>
      </c>
      <c r="P10" s="59">
        <v>4.68</v>
      </c>
      <c r="Q10" s="60">
        <f>IF(K10&lt;$L$5,1,0)</f>
        <v>0</v>
      </c>
      <c r="R10" s="60">
        <f>IF(K10&gt;=$L$6,1,0)</f>
        <v>1</v>
      </c>
      <c r="T10" s="2"/>
    </row>
    <row r="11" spans="1:20" x14ac:dyDescent="0.25">
      <c r="A11" t="s">
        <v>33</v>
      </c>
      <c r="D11" s="5" t="s">
        <v>17</v>
      </c>
      <c r="E11" s="5"/>
      <c r="F11" s="6"/>
      <c r="G11" s="6"/>
      <c r="H11" s="57" t="s">
        <v>74</v>
      </c>
      <c r="I11" s="57" t="s">
        <v>30</v>
      </c>
      <c r="J11" s="58" t="s">
        <v>91</v>
      </c>
      <c r="K11" s="59">
        <v>0.51</v>
      </c>
      <c r="L11" s="59">
        <v>0.2</v>
      </c>
      <c r="M11" s="59">
        <v>7.0000000000000007E-2</v>
      </c>
      <c r="N11" s="59">
        <v>3.88</v>
      </c>
      <c r="O11" s="59">
        <v>7.23</v>
      </c>
      <c r="P11" s="59">
        <v>1.9</v>
      </c>
      <c r="Q11" s="60">
        <f>IF(K11&lt;$L$5,1,0)</f>
        <v>0</v>
      </c>
      <c r="R11" s="60">
        <f>IF(K11&gt;=$L$6,1,0)</f>
        <v>0</v>
      </c>
      <c r="T11" s="2"/>
    </row>
    <row r="12" spans="1:20" x14ac:dyDescent="0.25">
      <c r="A12" t="s">
        <v>34</v>
      </c>
      <c r="D12" s="5" t="s">
        <v>17</v>
      </c>
      <c r="E12" s="5"/>
      <c r="F12" s="6"/>
      <c r="G12" s="6"/>
      <c r="H12" s="57" t="s">
        <v>75</v>
      </c>
      <c r="I12" s="57" t="s">
        <v>83</v>
      </c>
      <c r="J12" s="58" t="s">
        <v>82</v>
      </c>
      <c r="K12" s="59">
        <v>0.68</v>
      </c>
      <c r="L12" s="59">
        <v>0.42</v>
      </c>
      <c r="M12" s="59">
        <v>0.12</v>
      </c>
      <c r="N12" s="59">
        <v>5.2</v>
      </c>
      <c r="O12" s="59">
        <v>7.32</v>
      </c>
      <c r="P12" s="59">
        <v>4.83</v>
      </c>
      <c r="Q12" s="60">
        <f>IF(K12&lt;$L$5,1,0)</f>
        <v>0</v>
      </c>
      <c r="R12" s="60">
        <f>IF(K12&gt;=$L$6,1,0)</f>
        <v>0</v>
      </c>
      <c r="T12" s="2"/>
    </row>
    <row r="13" spans="1:20" x14ac:dyDescent="0.25">
      <c r="A13" s="20" t="s">
        <v>35</v>
      </c>
      <c r="D13" s="5" t="s">
        <v>17</v>
      </c>
      <c r="E13" s="5"/>
      <c r="F13" s="6"/>
      <c r="G13" s="6"/>
      <c r="H13" s="57" t="s">
        <v>76</v>
      </c>
      <c r="I13" s="57" t="s">
        <v>83</v>
      </c>
      <c r="J13" s="58" t="s">
        <v>82</v>
      </c>
      <c r="K13" s="59">
        <v>0.68</v>
      </c>
      <c r="L13" s="59">
        <v>0.45</v>
      </c>
      <c r="M13" s="59">
        <v>0.65</v>
      </c>
      <c r="N13" s="59">
        <v>7.11</v>
      </c>
      <c r="O13" s="59">
        <v>7.6</v>
      </c>
      <c r="P13" s="59">
        <v>3.39</v>
      </c>
      <c r="Q13" s="60">
        <f>IF(K13&lt;$L$5,1,0)</f>
        <v>0</v>
      </c>
      <c r="R13" s="60">
        <f>IF(K13&gt;=$L$6,1,0)</f>
        <v>0</v>
      </c>
      <c r="T13" s="2"/>
    </row>
    <row r="14" spans="1:20" x14ac:dyDescent="0.25">
      <c r="A14" s="21" t="s">
        <v>36</v>
      </c>
      <c r="D14" s="5"/>
      <c r="E14" s="5"/>
      <c r="F14" s="6"/>
      <c r="G14" s="6"/>
      <c r="H14" s="57" t="s">
        <v>77</v>
      </c>
      <c r="I14" s="57" t="s">
        <v>83</v>
      </c>
      <c r="J14" s="58" t="s">
        <v>82</v>
      </c>
      <c r="K14" s="59">
        <v>0.66</v>
      </c>
      <c r="L14" s="59">
        <v>0.52</v>
      </c>
      <c r="M14" s="59">
        <v>2.33</v>
      </c>
      <c r="N14" s="59">
        <v>9.0299999999999994</v>
      </c>
      <c r="O14" s="59">
        <v>6.23</v>
      </c>
      <c r="P14" s="59">
        <v>1.45</v>
      </c>
      <c r="Q14" s="60">
        <f>IF(K14&lt;$L$5,1,0)</f>
        <v>0</v>
      </c>
      <c r="R14" s="60">
        <f>IF(K14&gt;=$L$6,1,0)</f>
        <v>0</v>
      </c>
      <c r="T14" s="2"/>
    </row>
    <row r="15" spans="1:20" x14ac:dyDescent="0.25">
      <c r="A15" s="20"/>
      <c r="D15" s="5"/>
      <c r="E15" s="5"/>
      <c r="F15" s="6"/>
      <c r="G15" s="6"/>
      <c r="H15" s="57" t="s">
        <v>78</v>
      </c>
      <c r="I15" s="57" t="s">
        <v>83</v>
      </c>
      <c r="J15" s="58" t="s">
        <v>82</v>
      </c>
      <c r="K15" s="59">
        <v>0.66</v>
      </c>
      <c r="L15" s="59">
        <v>0.65</v>
      </c>
      <c r="M15" s="59">
        <v>1.07</v>
      </c>
      <c r="N15" s="59">
        <v>9.35</v>
      </c>
      <c r="O15" s="59">
        <v>3.84</v>
      </c>
      <c r="P15" s="59">
        <v>0.66</v>
      </c>
      <c r="Q15" s="60">
        <f>IF(K15&lt;$L$5,1,0)</f>
        <v>0</v>
      </c>
      <c r="R15" s="60">
        <f>IF(K15&gt;=$L$6,1,0)</f>
        <v>0</v>
      </c>
      <c r="T15" s="2"/>
    </row>
    <row r="16" spans="1:20" x14ac:dyDescent="0.25">
      <c r="A16" t="s">
        <v>37</v>
      </c>
      <c r="D16" s="5"/>
      <c r="E16" s="5" t="s">
        <v>17</v>
      </c>
      <c r="F16" s="6"/>
      <c r="G16" s="6"/>
      <c r="H16" s="57" t="s">
        <v>79</v>
      </c>
      <c r="I16" s="57" t="s">
        <v>83</v>
      </c>
      <c r="J16" s="58" t="s">
        <v>82</v>
      </c>
      <c r="K16" s="59">
        <v>0.66</v>
      </c>
      <c r="L16" s="59">
        <v>0.35</v>
      </c>
      <c r="M16" s="59">
        <v>0.83</v>
      </c>
      <c r="N16" s="59">
        <v>7.44</v>
      </c>
      <c r="O16" s="59">
        <v>3.18</v>
      </c>
      <c r="P16" s="59">
        <v>2.09</v>
      </c>
      <c r="Q16" s="60">
        <f>IF(K16&lt;$L$5,1,0)</f>
        <v>0</v>
      </c>
      <c r="R16" s="60">
        <f>IF(K16&gt;=$L$6,1,0)</f>
        <v>0</v>
      </c>
      <c r="T16" s="2"/>
    </row>
    <row r="17" spans="1:31" x14ac:dyDescent="0.25">
      <c r="A17" t="s">
        <v>38</v>
      </c>
      <c r="D17" s="5"/>
      <c r="E17" s="5"/>
      <c r="F17" s="6"/>
      <c r="G17" s="6"/>
      <c r="H17" s="57" t="s">
        <v>80</v>
      </c>
      <c r="I17" s="57" t="s">
        <v>30</v>
      </c>
      <c r="J17" s="58" t="s">
        <v>82</v>
      </c>
      <c r="K17" s="59">
        <v>0.53</v>
      </c>
      <c r="L17" s="59">
        <v>0.62</v>
      </c>
      <c r="M17" s="59">
        <v>0.83</v>
      </c>
      <c r="N17" s="59">
        <v>4.79</v>
      </c>
      <c r="O17" s="59">
        <v>5.0999999999999996</v>
      </c>
      <c r="P17" s="59">
        <v>2</v>
      </c>
      <c r="Q17" s="60">
        <f>IF(K17&lt;$L$5,1,0)</f>
        <v>0</v>
      </c>
      <c r="R17" s="60">
        <f>IF(K17&gt;=$L$6,1,0)</f>
        <v>0</v>
      </c>
      <c r="T17" s="2"/>
    </row>
    <row r="18" spans="1:31" x14ac:dyDescent="0.25">
      <c r="A18" t="s">
        <v>39</v>
      </c>
      <c r="D18" s="5"/>
      <c r="E18" s="5" t="s">
        <v>17</v>
      </c>
      <c r="F18" s="6"/>
      <c r="G18" s="6"/>
      <c r="H18" s="57" t="s">
        <v>81</v>
      </c>
      <c r="I18" s="57" t="s">
        <v>30</v>
      </c>
      <c r="J18" s="58" t="s">
        <v>82</v>
      </c>
      <c r="K18" s="59">
        <v>0.53</v>
      </c>
      <c r="L18" s="59">
        <v>0.32</v>
      </c>
      <c r="M18" s="59">
        <v>0.57999999999999996</v>
      </c>
      <c r="N18" s="59">
        <v>3.12</v>
      </c>
      <c r="O18" s="59">
        <v>5.0599999999999996</v>
      </c>
      <c r="P18" s="59">
        <v>2.84</v>
      </c>
      <c r="Q18" s="60">
        <f>IF(K18&lt;$L$5,1,0)</f>
        <v>0</v>
      </c>
      <c r="R18" s="60">
        <f>IF(K18&gt;=$L$6,1,0)</f>
        <v>0</v>
      </c>
      <c r="T18" s="2"/>
    </row>
    <row r="19" spans="1:31" x14ac:dyDescent="0.25">
      <c r="A19" s="22" t="s">
        <v>40</v>
      </c>
      <c r="D19" s="5"/>
      <c r="E19" s="5" t="s">
        <v>17</v>
      </c>
      <c r="F19" s="6"/>
      <c r="G19" s="6"/>
      <c r="H19" s="6"/>
      <c r="I19" s="11"/>
      <c r="N19" s="2"/>
      <c r="O19" s="4"/>
      <c r="T19" s="2"/>
      <c r="U19" s="2"/>
      <c r="V19" s="2"/>
      <c r="W19" s="2"/>
      <c r="X19" s="2"/>
      <c r="Y19" s="2"/>
      <c r="Z19" s="2"/>
      <c r="AA19" s="2"/>
      <c r="AB19" s="2"/>
      <c r="AC19" s="2"/>
      <c r="AD19" s="2"/>
      <c r="AE19" s="2"/>
    </row>
    <row r="20" spans="1:31" ht="60" x14ac:dyDescent="0.25">
      <c r="D20" s="5"/>
      <c r="E20" s="5"/>
      <c r="F20" s="6"/>
      <c r="G20" s="72" t="s">
        <v>110</v>
      </c>
      <c r="H20" s="72"/>
      <c r="I20" s="11"/>
      <c r="L20" s="12" t="s">
        <v>113</v>
      </c>
      <c r="M20" s="12" t="s">
        <v>114</v>
      </c>
      <c r="N20" s="12" t="s">
        <v>25</v>
      </c>
      <c r="O20" s="12" t="s">
        <v>26</v>
      </c>
      <c r="P20" s="12" t="s">
        <v>27</v>
      </c>
      <c r="T20" s="2"/>
      <c r="U20" s="2"/>
      <c r="V20" s="2"/>
      <c r="W20" s="2"/>
      <c r="X20" s="2"/>
      <c r="Y20" s="2"/>
      <c r="Z20" s="2"/>
      <c r="AA20" s="2"/>
      <c r="AB20" s="2"/>
      <c r="AC20" s="2"/>
      <c r="AD20" s="2"/>
      <c r="AE20" s="2"/>
    </row>
    <row r="21" spans="1:31" x14ac:dyDescent="0.25">
      <c r="A21" s="16" t="s">
        <v>41</v>
      </c>
      <c r="D21" s="5"/>
      <c r="E21" s="5"/>
      <c r="F21" s="6"/>
      <c r="G21" s="6"/>
      <c r="H21" s="6"/>
      <c r="I21" s="2" t="s">
        <v>10</v>
      </c>
      <c r="K21" s="4" t="s">
        <v>98</v>
      </c>
      <c r="L21" s="68">
        <f>L3/(SUM($L$3:$P$3))</f>
        <v>0.11097852028639618</v>
      </c>
      <c r="M21" s="68">
        <f>M3/(SUM($L$3:$P$3))</f>
        <v>0.11097852028639618</v>
      </c>
      <c r="N21" s="68">
        <f>N3/(SUM($L$3:$P$3))</f>
        <v>0.33353221957040569</v>
      </c>
      <c r="O21" s="68">
        <f>O3/(SUM($L$3:$P$3))</f>
        <v>0.33353221957040569</v>
      </c>
      <c r="P21" s="68">
        <f>P3/(SUM($L$3:$P$3))</f>
        <v>0.11097852028639618</v>
      </c>
      <c r="T21" s="2"/>
      <c r="U21" s="2"/>
      <c r="V21" s="2"/>
      <c r="W21" s="2"/>
      <c r="X21" s="2"/>
      <c r="Y21" s="2"/>
      <c r="Z21" s="2"/>
      <c r="AA21" s="2"/>
      <c r="AB21" s="2"/>
      <c r="AC21" s="2"/>
      <c r="AD21" s="2"/>
      <c r="AE21" s="2"/>
    </row>
    <row r="22" spans="1:31" x14ac:dyDescent="0.25">
      <c r="A22" s="69" t="s">
        <v>42</v>
      </c>
      <c r="D22" s="5"/>
      <c r="E22" s="5" t="s">
        <v>17</v>
      </c>
      <c r="F22" s="6"/>
      <c r="H22"/>
      <c r="N22" s="2"/>
      <c r="O22" s="4"/>
      <c r="T22" s="2"/>
      <c r="U22" s="2"/>
      <c r="V22" s="2"/>
      <c r="W22" s="2"/>
      <c r="X22" s="2"/>
      <c r="Y22" s="2"/>
      <c r="Z22" s="2"/>
      <c r="AA22" s="2"/>
      <c r="AB22" s="2"/>
      <c r="AC22" s="2"/>
      <c r="AD22" s="2"/>
      <c r="AE22" s="2"/>
    </row>
    <row r="23" spans="1:31" x14ac:dyDescent="0.25">
      <c r="A23" t="s">
        <v>43</v>
      </c>
      <c r="D23" s="5"/>
      <c r="E23" s="5" t="s">
        <v>17</v>
      </c>
      <c r="F23" s="6"/>
      <c r="G23" s="6"/>
      <c r="H23" s="6"/>
      <c r="I23" s="2" t="s">
        <v>12</v>
      </c>
      <c r="J23" s="67"/>
      <c r="K23" s="4" t="s">
        <v>99</v>
      </c>
      <c r="L23" s="68">
        <f>L4/SUM($L$4:$P$4)</f>
        <v>0.25</v>
      </c>
      <c r="M23" s="68">
        <f>M4/SUM($L$4:$P$4)</f>
        <v>0.25</v>
      </c>
      <c r="N23" s="68">
        <f>N4/SUM($L$4:$P$4)</f>
        <v>0.125</v>
      </c>
      <c r="O23" s="68">
        <f>O4/SUM($L$4:$P$4)</f>
        <v>0.125</v>
      </c>
      <c r="P23" s="68">
        <f>P4/SUM($L$4:$P$4)</f>
        <v>0.25</v>
      </c>
      <c r="T23" s="2"/>
      <c r="U23" s="2"/>
      <c r="V23" s="2"/>
      <c r="W23" s="2"/>
      <c r="X23" s="2"/>
      <c r="Y23" s="2"/>
      <c r="Z23" s="2"/>
      <c r="AA23" s="2"/>
      <c r="AB23" s="2"/>
      <c r="AC23" s="2"/>
      <c r="AD23" s="2"/>
      <c r="AE23" s="2"/>
    </row>
    <row r="24" spans="1:31" x14ac:dyDescent="0.25">
      <c r="D24" s="5"/>
      <c r="E24" s="5"/>
      <c r="F24" s="6"/>
      <c r="G24" s="6"/>
      <c r="H24" s="6"/>
      <c r="J24" s="67"/>
      <c r="L24" s="70"/>
      <c r="M24" s="70"/>
      <c r="N24" s="70"/>
      <c r="O24" s="70"/>
      <c r="P24" s="70"/>
      <c r="T24" s="2"/>
      <c r="U24" s="2"/>
      <c r="V24" s="2"/>
      <c r="W24" s="2"/>
      <c r="X24" s="2"/>
      <c r="Y24" s="2"/>
      <c r="Z24" s="2"/>
      <c r="AA24" s="2"/>
      <c r="AB24" s="2"/>
      <c r="AC24" s="2"/>
      <c r="AD24" s="2"/>
      <c r="AE24" s="2"/>
    </row>
    <row r="25" spans="1:31" x14ac:dyDescent="0.25">
      <c r="A25" s="16" t="s">
        <v>44</v>
      </c>
      <c r="D25" s="5"/>
      <c r="E25" s="5"/>
      <c r="F25" s="6"/>
      <c r="G25" s="6"/>
      <c r="H25" s="6"/>
      <c r="I25" s="2" t="s">
        <v>14</v>
      </c>
      <c r="J25" s="67"/>
      <c r="K25" s="83">
        <f>SUM(L25:P25)</f>
        <v>0.62092631264916454</v>
      </c>
      <c r="L25" s="68">
        <f>L3*L21*L23</f>
        <v>5.1605011933174225E-2</v>
      </c>
      <c r="M25" s="68">
        <f>M3*M21*M23</f>
        <v>5.1605011933174225E-2</v>
      </c>
      <c r="N25" s="68">
        <f>N3*N21*N23</f>
        <v>0.23305563842482097</v>
      </c>
      <c r="O25" s="68">
        <f>O3*O21*O23</f>
        <v>0.23305563842482097</v>
      </c>
      <c r="P25" s="68">
        <f>P3*P21*P23</f>
        <v>5.1605011933174225E-2</v>
      </c>
      <c r="T25" s="2"/>
      <c r="U25" s="2"/>
      <c r="V25" s="2"/>
      <c r="W25" s="2"/>
      <c r="X25" s="2"/>
      <c r="Y25" s="2"/>
      <c r="Z25" s="2"/>
      <c r="AA25" s="2"/>
      <c r="AB25" s="2"/>
      <c r="AC25" s="2"/>
      <c r="AD25" s="2"/>
      <c r="AE25" s="2"/>
    </row>
    <row r="26" spans="1:31" x14ac:dyDescent="0.25">
      <c r="A26" t="s">
        <v>45</v>
      </c>
      <c r="C26" t="s">
        <v>46</v>
      </c>
      <c r="D26" s="5"/>
      <c r="E26" s="5" t="s">
        <v>17</v>
      </c>
      <c r="F26" s="6"/>
      <c r="G26" s="6"/>
      <c r="H26" s="6"/>
      <c r="I26" s="11"/>
      <c r="J26" s="39"/>
      <c r="K26" s="79"/>
      <c r="L26" s="39"/>
      <c r="M26" s="39"/>
      <c r="N26" s="39"/>
      <c r="O26" s="4"/>
      <c r="T26" s="2"/>
      <c r="U26" s="2"/>
      <c r="V26" s="2"/>
      <c r="W26" s="2"/>
      <c r="X26" s="2"/>
      <c r="Y26" s="2"/>
      <c r="Z26" s="2"/>
      <c r="AA26" s="2"/>
      <c r="AB26" s="2"/>
      <c r="AC26" s="2"/>
      <c r="AD26" s="2"/>
      <c r="AE26" s="2"/>
    </row>
    <row r="27" spans="1:31" ht="15.75" thickBot="1" x14ac:dyDescent="0.3">
      <c r="A27" t="s">
        <v>51</v>
      </c>
      <c r="C27" t="s">
        <v>52</v>
      </c>
      <c r="D27" s="5"/>
      <c r="E27" s="5" t="s">
        <v>17</v>
      </c>
      <c r="F27" s="6"/>
      <c r="G27" s="6"/>
      <c r="H27" s="6"/>
      <c r="I27" s="11"/>
      <c r="N27" s="2"/>
      <c r="O27" s="4"/>
      <c r="T27" s="2"/>
    </row>
    <row r="28" spans="1:31" ht="91.5" thickTop="1" thickBot="1" x14ac:dyDescent="0.3">
      <c r="A28" t="s">
        <v>53</v>
      </c>
      <c r="C28" t="s">
        <v>54</v>
      </c>
      <c r="D28" s="5"/>
      <c r="E28" s="5" t="s">
        <v>17</v>
      </c>
      <c r="F28" s="6"/>
      <c r="G28" s="6"/>
      <c r="H28" s="6"/>
      <c r="I28" s="6"/>
      <c r="J28" s="11"/>
      <c r="L28" s="13" t="s">
        <v>115</v>
      </c>
      <c r="M28" s="14" t="s">
        <v>116</v>
      </c>
      <c r="N28" s="14" t="s">
        <v>7</v>
      </c>
      <c r="O28" s="14" t="s">
        <v>8</v>
      </c>
      <c r="P28" s="14" t="s">
        <v>9</v>
      </c>
      <c r="Q28" s="15" t="s">
        <v>28</v>
      </c>
      <c r="R28" s="15" t="s">
        <v>117</v>
      </c>
      <c r="S28" s="15" t="s">
        <v>121</v>
      </c>
      <c r="T28" s="15" t="s">
        <v>122</v>
      </c>
      <c r="U28" s="2"/>
    </row>
    <row r="29" spans="1:31" x14ac:dyDescent="0.25">
      <c r="A29" t="s">
        <v>55</v>
      </c>
      <c r="C29" t="s">
        <v>56</v>
      </c>
      <c r="D29" s="5"/>
      <c r="E29" s="5" t="s">
        <v>17</v>
      </c>
      <c r="F29" s="6"/>
      <c r="G29" s="6"/>
      <c r="H29" s="6"/>
      <c r="I29" s="6"/>
      <c r="J29" s="11"/>
      <c r="K29" s="4" t="str">
        <f t="shared" ref="K29:K37" si="0">H10</f>
        <v>K06</v>
      </c>
      <c r="L29" s="63">
        <f>IF($I10="D",$L$3,MIN(L10,L$3))</f>
        <v>0.15</v>
      </c>
      <c r="M29" s="63">
        <f>IF($I10="D",$M$3,MIN(M10,M$3))</f>
        <v>1.86</v>
      </c>
      <c r="N29" s="63">
        <f>MIN(N10,N$3)</f>
        <v>3.8</v>
      </c>
      <c r="O29" s="63">
        <f>MIN(O10,O$3)</f>
        <v>4.8</v>
      </c>
      <c r="P29" s="63">
        <f>MIN(P10,P$3)</f>
        <v>1.86</v>
      </c>
      <c r="Q29" s="63">
        <f>(L29*L$23*L$21)+(M29*M$23*M$21)+(N29*N$23*N$21)+(O29*O$23*O$21)+(P29*P$23*P$21)</f>
        <v>0.46591885441527442</v>
      </c>
      <c r="R29" s="63">
        <f>Q29/$K$25</f>
        <v>0.75036094448541701</v>
      </c>
      <c r="S29" s="74">
        <f>1-R29</f>
        <v>0.24963905551458299</v>
      </c>
      <c r="T29" s="73">
        <f>IF((Q10+R10)&gt;0,0,1)</f>
        <v>0</v>
      </c>
      <c r="U29" s="2"/>
    </row>
    <row r="30" spans="1:31" x14ac:dyDescent="0.25">
      <c r="H30"/>
      <c r="I30"/>
      <c r="K30" s="4" t="str">
        <f t="shared" si="0"/>
        <v>K07</v>
      </c>
      <c r="L30" s="63">
        <f t="shared" ref="L29:L37" si="1">IF($I11="D",$L$3,MIN(L11,L$3))</f>
        <v>1.86</v>
      </c>
      <c r="M30" s="63">
        <f>IF($I11="D",$M$3,MIN(M11,M$3))</f>
        <v>1.86</v>
      </c>
      <c r="N30" s="63">
        <f t="shared" ref="N29:P37" si="2">MIN(N11,N$3)</f>
        <v>3.88</v>
      </c>
      <c r="O30" s="63">
        <f t="shared" si="2"/>
        <v>5.59</v>
      </c>
      <c r="P30" s="63">
        <f t="shared" si="2"/>
        <v>1.86</v>
      </c>
      <c r="Q30" s="63">
        <f t="shared" ref="Q29:Q37" si="3">(L30*L$23*L$21)+(M30*M$23*M$21)+(N30*N$23*N$21)+(O30*O$23*O$21)+(P30*P$23*P$21)</f>
        <v>0.54963380071599033</v>
      </c>
      <c r="R30" s="63">
        <f t="shared" ref="R29:R37" si="4">Q30/$K$25</f>
        <v>0.88518361924620859</v>
      </c>
      <c r="S30" s="75">
        <f t="shared" ref="S29:S37" si="5">1-R30</f>
        <v>0.11481638075379141</v>
      </c>
      <c r="T30" s="73">
        <f t="shared" ref="T29:T37" si="6">IF((Q11+R11)&gt;0,0,1)</f>
        <v>1</v>
      </c>
      <c r="U30" s="2"/>
    </row>
    <row r="31" spans="1:31" x14ac:dyDescent="0.25">
      <c r="H31"/>
      <c r="I31"/>
      <c r="K31" s="4" t="str">
        <f t="shared" si="0"/>
        <v>K08</v>
      </c>
      <c r="L31" s="63">
        <f t="shared" si="1"/>
        <v>0.42</v>
      </c>
      <c r="M31" s="63">
        <f t="shared" ref="M29:M37" si="7">IF($I12="D",$M$3,MIN(M12,M$3))</f>
        <v>0.12</v>
      </c>
      <c r="N31" s="63">
        <f t="shared" si="2"/>
        <v>5.2</v>
      </c>
      <c r="O31" s="63">
        <f t="shared" si="2"/>
        <v>5.59</v>
      </c>
      <c r="P31" s="63">
        <f t="shared" si="2"/>
        <v>1.86</v>
      </c>
      <c r="Q31" s="63">
        <f>(L31*L$23*L$21)+(M31*M$23*M$21)+(N31*N$23*N$21)+(O31*O$23*O$21)+(P31*P$23*P$21)</f>
        <v>0.51643869331742231</v>
      </c>
      <c r="R31" s="63">
        <f>Q31/$K$25</f>
        <v>0.83172299642779068</v>
      </c>
      <c r="S31" s="75">
        <f t="shared" si="5"/>
        <v>0.16827700357220932</v>
      </c>
      <c r="T31" s="73">
        <f t="shared" si="6"/>
        <v>1</v>
      </c>
      <c r="U31" s="2"/>
    </row>
    <row r="32" spans="1:31" x14ac:dyDescent="0.25">
      <c r="H32"/>
      <c r="I32"/>
      <c r="K32" s="4" t="str">
        <f t="shared" si="0"/>
        <v>K09</v>
      </c>
      <c r="L32" s="63">
        <f t="shared" si="1"/>
        <v>0.45</v>
      </c>
      <c r="M32" s="63">
        <f t="shared" si="7"/>
        <v>0.65</v>
      </c>
      <c r="N32" s="63">
        <f t="shared" si="2"/>
        <v>5.59</v>
      </c>
      <c r="O32" s="63">
        <f t="shared" si="2"/>
        <v>5.59</v>
      </c>
      <c r="P32" s="63">
        <f t="shared" si="2"/>
        <v>1.86</v>
      </c>
      <c r="Q32" s="63">
        <f t="shared" si="3"/>
        <v>0.54823538186157506</v>
      </c>
      <c r="R32" s="63">
        <f t="shared" si="4"/>
        <v>0.88293146979477211</v>
      </c>
      <c r="S32" s="75">
        <f t="shared" si="5"/>
        <v>0.11706853020522789</v>
      </c>
      <c r="T32" s="73">
        <f t="shared" si="6"/>
        <v>1</v>
      </c>
      <c r="U32" s="2"/>
    </row>
    <row r="33" spans="8:25" x14ac:dyDescent="0.25">
      <c r="H33"/>
      <c r="I33"/>
      <c r="K33" s="4" t="str">
        <f t="shared" si="0"/>
        <v>K10</v>
      </c>
      <c r="L33" s="63">
        <f t="shared" si="1"/>
        <v>0.52</v>
      </c>
      <c r="M33" s="63">
        <f t="shared" si="7"/>
        <v>1.86</v>
      </c>
      <c r="N33" s="63">
        <f t="shared" si="2"/>
        <v>5.59</v>
      </c>
      <c r="O33" s="63">
        <f t="shared" si="2"/>
        <v>5.59</v>
      </c>
      <c r="P33" s="63">
        <f t="shared" si="2"/>
        <v>1.45</v>
      </c>
      <c r="Q33" s="63">
        <f t="shared" si="3"/>
        <v>0.57237321002386632</v>
      </c>
      <c r="R33" s="63">
        <f t="shared" si="4"/>
        <v>0.92180537104612659</v>
      </c>
      <c r="S33" s="75">
        <f t="shared" si="5"/>
        <v>7.8194628953873413E-2</v>
      </c>
      <c r="T33" s="73">
        <f t="shared" si="6"/>
        <v>1</v>
      </c>
      <c r="U33" s="2"/>
    </row>
    <row r="34" spans="8:25" ht="15" customHeight="1" x14ac:dyDescent="0.25">
      <c r="H34"/>
      <c r="I34"/>
      <c r="J34" s="28"/>
      <c r="K34" s="4" t="str">
        <f t="shared" si="0"/>
        <v>K11</v>
      </c>
      <c r="L34" s="63">
        <f t="shared" si="1"/>
        <v>0.65</v>
      </c>
      <c r="M34" s="63">
        <f t="shared" si="7"/>
        <v>1.07</v>
      </c>
      <c r="N34" s="63">
        <f t="shared" si="2"/>
        <v>5.59</v>
      </c>
      <c r="O34" s="63">
        <f t="shared" si="2"/>
        <v>3.84</v>
      </c>
      <c r="P34" s="63">
        <f t="shared" si="2"/>
        <v>0.66</v>
      </c>
      <c r="Q34" s="63">
        <f t="shared" si="3"/>
        <v>0.4591833233890214</v>
      </c>
      <c r="R34" s="63">
        <f t="shared" si="4"/>
        <v>0.73951339158092488</v>
      </c>
      <c r="S34" s="75">
        <f t="shared" si="5"/>
        <v>0.26048660841907512</v>
      </c>
      <c r="T34" s="73">
        <f t="shared" si="6"/>
        <v>1</v>
      </c>
      <c r="U34" s="2"/>
    </row>
    <row r="35" spans="8:25" ht="14.25" customHeight="1" x14ac:dyDescent="0.25">
      <c r="H35"/>
      <c r="I35"/>
      <c r="J35" s="32"/>
      <c r="K35" s="4" t="str">
        <f t="shared" si="0"/>
        <v>K12</v>
      </c>
      <c r="L35" s="63">
        <f t="shared" si="1"/>
        <v>0.35</v>
      </c>
      <c r="M35" s="63">
        <f t="shared" si="7"/>
        <v>0.83</v>
      </c>
      <c r="N35" s="63">
        <f t="shared" si="2"/>
        <v>5.59</v>
      </c>
      <c r="O35" s="63">
        <f t="shared" si="2"/>
        <v>3.18</v>
      </c>
      <c r="P35" s="63">
        <f t="shared" si="2"/>
        <v>1.86</v>
      </c>
      <c r="Q35" s="63">
        <f t="shared" si="3"/>
        <v>0.44997837112171835</v>
      </c>
      <c r="R35" s="63">
        <f t="shared" si="4"/>
        <v>0.72468884303178971</v>
      </c>
      <c r="S35" s="75">
        <f t="shared" si="5"/>
        <v>0.27531115696821029</v>
      </c>
      <c r="T35" s="73">
        <f t="shared" si="6"/>
        <v>1</v>
      </c>
      <c r="U35" s="2"/>
    </row>
    <row r="36" spans="8:25" ht="13.5" customHeight="1" x14ac:dyDescent="0.25">
      <c r="H36"/>
      <c r="I36"/>
      <c r="J36" s="32"/>
      <c r="K36" s="4" t="str">
        <f t="shared" si="0"/>
        <v>K13</v>
      </c>
      <c r="L36" s="63">
        <f t="shared" si="1"/>
        <v>1.86</v>
      </c>
      <c r="M36" s="63">
        <f t="shared" si="7"/>
        <v>1.86</v>
      </c>
      <c r="N36" s="63">
        <f t="shared" si="2"/>
        <v>4.79</v>
      </c>
      <c r="O36" s="63">
        <f t="shared" si="2"/>
        <v>5.0999999999999996</v>
      </c>
      <c r="P36" s="63">
        <f t="shared" si="2"/>
        <v>1.86</v>
      </c>
      <c r="Q36" s="63">
        <f t="shared" si="3"/>
        <v>0.56714424224343674</v>
      </c>
      <c r="R36" s="63">
        <f t="shared" si="4"/>
        <v>0.91338413381731542</v>
      </c>
      <c r="S36" s="75">
        <f t="shared" si="5"/>
        <v>8.6615866182684575E-2</v>
      </c>
      <c r="T36" s="73">
        <f t="shared" si="6"/>
        <v>1</v>
      </c>
      <c r="U36" s="2"/>
    </row>
    <row r="37" spans="8:25" ht="13.5" customHeight="1" x14ac:dyDescent="0.25">
      <c r="H37"/>
      <c r="I37"/>
      <c r="J37" s="32"/>
      <c r="K37" s="4" t="str">
        <f t="shared" si="0"/>
        <v>K14</v>
      </c>
      <c r="L37" s="63">
        <f t="shared" si="1"/>
        <v>1.86</v>
      </c>
      <c r="M37" s="63">
        <f t="shared" si="7"/>
        <v>1.86</v>
      </c>
      <c r="N37" s="63">
        <f t="shared" si="2"/>
        <v>3.12</v>
      </c>
      <c r="O37" s="63">
        <f t="shared" si="2"/>
        <v>5.0599999999999996</v>
      </c>
      <c r="P37" s="63">
        <f t="shared" si="2"/>
        <v>1.86</v>
      </c>
      <c r="Q37" s="63">
        <f t="shared" si="3"/>
        <v>0.49585173031026253</v>
      </c>
      <c r="R37" s="63">
        <f t="shared" si="4"/>
        <v>0.79856775306352401</v>
      </c>
      <c r="S37" s="76">
        <f t="shared" si="5"/>
        <v>0.20143224693647599</v>
      </c>
      <c r="T37" s="73">
        <f t="shared" si="6"/>
        <v>1</v>
      </c>
      <c r="U37" s="2"/>
    </row>
    <row r="38" spans="8:25" ht="30" customHeight="1" x14ac:dyDescent="0.25">
      <c r="H38"/>
      <c r="I38" s="32"/>
      <c r="J38" s="32"/>
      <c r="K38" s="33"/>
      <c r="L38" s="33"/>
      <c r="M38" s="33"/>
      <c r="N38" s="33"/>
      <c r="O38" s="33"/>
      <c r="P38" s="30"/>
      <c r="Q38" s="4"/>
      <c r="R38" s="4"/>
      <c r="S38" s="4"/>
      <c r="T38" s="2"/>
    </row>
    <row r="39" spans="8:25" ht="30" customHeight="1" x14ac:dyDescent="0.25">
      <c r="H39" s="32"/>
      <c r="I39" s="32"/>
      <c r="J39" s="33"/>
      <c r="K39" s="33"/>
      <c r="L39" s="33"/>
      <c r="M39" s="33"/>
      <c r="N39" s="33"/>
      <c r="O39" s="30"/>
      <c r="P39" s="4"/>
      <c r="Q39" s="4"/>
      <c r="R39" s="4"/>
    </row>
    <row r="40" spans="8:25" ht="30" customHeight="1" x14ac:dyDescent="0.25">
      <c r="H40" s="32"/>
      <c r="I40" s="32"/>
      <c r="J40" s="33"/>
      <c r="K40" s="33"/>
      <c r="L40" s="33"/>
      <c r="M40" s="33"/>
      <c r="N40" s="33"/>
      <c r="O40" s="30"/>
      <c r="P40" s="33"/>
      <c r="Q40" s="33"/>
      <c r="R40" s="34"/>
    </row>
    <row r="41" spans="8:25" x14ac:dyDescent="0.25">
      <c r="O41" s="30"/>
      <c r="P41" s="4"/>
      <c r="Q41" s="4"/>
      <c r="R41" s="35"/>
      <c r="S41" s="36"/>
      <c r="T41" s="4"/>
      <c r="U41" s="4"/>
      <c r="V41" s="4"/>
      <c r="W41" s="4"/>
      <c r="X41" s="4"/>
      <c r="Y41" s="4"/>
    </row>
    <row r="42" spans="8:25" x14ac:dyDescent="0.25">
      <c r="R42" s="37"/>
      <c r="S42" s="36"/>
      <c r="T42" s="4"/>
      <c r="U42" s="4"/>
      <c r="V42" s="4"/>
      <c r="W42" s="4"/>
      <c r="X42" s="4"/>
      <c r="Y42" s="4"/>
    </row>
    <row r="43" spans="8:25" x14ac:dyDescent="0.25">
      <c r="R43" s="4"/>
      <c r="S43" s="4"/>
      <c r="T43" s="4"/>
      <c r="U43" s="4"/>
      <c r="V43" s="4"/>
      <c r="W43" s="4"/>
      <c r="X43" s="4"/>
      <c r="Y43" s="4"/>
    </row>
    <row r="44" spans="8:25" x14ac:dyDescent="0.25">
      <c r="R44" s="38"/>
    </row>
    <row r="45" spans="8:25" x14ac:dyDescent="0.25">
      <c r="R45" s="4"/>
    </row>
    <row r="46" spans="8:25" ht="30" customHeight="1" x14ac:dyDescent="0.25">
      <c r="H46" s="32"/>
      <c r="I46" s="32"/>
      <c r="J46" s="32"/>
      <c r="K46" s="33"/>
      <c r="L46" s="32"/>
      <c r="M46" s="32"/>
      <c r="N46" s="81"/>
      <c r="O46" s="82"/>
      <c r="P46" s="82"/>
      <c r="Q46" s="6"/>
      <c r="R46" s="4"/>
    </row>
    <row r="47" spans="8:25" ht="30" customHeight="1" x14ac:dyDescent="0.25">
      <c r="H47" s="32"/>
      <c r="I47" s="32"/>
      <c r="J47" s="32"/>
      <c r="K47" s="33"/>
      <c r="L47" s="32"/>
      <c r="M47" s="32"/>
      <c r="N47" s="81"/>
      <c r="O47" s="82"/>
      <c r="P47" s="82"/>
      <c r="Q47" s="6"/>
      <c r="R47" s="4"/>
    </row>
    <row r="48" spans="8:25" x14ac:dyDescent="0.25">
      <c r="N48" s="2"/>
    </row>
    <row r="49" spans="1:19" x14ac:dyDescent="0.25">
      <c r="N49" s="2"/>
      <c r="S49" s="39"/>
    </row>
    <row r="59" spans="1:19" x14ac:dyDescent="0.25">
      <c r="A59" s="16" t="s">
        <v>58</v>
      </c>
    </row>
    <row r="70" spans="1:8" x14ac:dyDescent="0.25">
      <c r="D70" s="5"/>
      <c r="E70" s="5"/>
      <c r="F70" s="6"/>
      <c r="G70" s="6"/>
      <c r="H70" s="11"/>
    </row>
    <row r="71" spans="1:8" x14ac:dyDescent="0.25">
      <c r="A71" s="16" t="s">
        <v>59</v>
      </c>
      <c r="D71" s="5"/>
      <c r="E71" s="5"/>
      <c r="F71" s="6"/>
      <c r="G71" s="6"/>
      <c r="H71" s="11"/>
    </row>
    <row r="72" spans="1:8" x14ac:dyDescent="0.25">
      <c r="A72" t="s">
        <v>60</v>
      </c>
      <c r="D72" s="5"/>
      <c r="E72" s="5"/>
      <c r="F72" s="6"/>
      <c r="G72" s="6"/>
      <c r="H72" s="11"/>
    </row>
    <row r="73" spans="1:8" x14ac:dyDescent="0.25">
      <c r="A73" t="s">
        <v>61</v>
      </c>
      <c r="D73" s="5"/>
      <c r="E73" s="5"/>
      <c r="F73" s="6"/>
      <c r="G73" s="6"/>
      <c r="H73" s="11"/>
    </row>
    <row r="74" spans="1:8" x14ac:dyDescent="0.25">
      <c r="A74" t="s">
        <v>62</v>
      </c>
      <c r="D74" s="5"/>
      <c r="E74" s="5"/>
      <c r="F74" s="6"/>
      <c r="G74" s="6"/>
      <c r="H74" s="11"/>
    </row>
    <row r="75" spans="1:8" x14ac:dyDescent="0.25">
      <c r="A75" s="2" t="s">
        <v>63</v>
      </c>
    </row>
    <row r="76" spans="1:8" x14ac:dyDescent="0.25">
      <c r="A76" t="s">
        <v>64</v>
      </c>
    </row>
    <row r="78" spans="1:8" x14ac:dyDescent="0.25">
      <c r="A78" s="16" t="s">
        <v>65</v>
      </c>
    </row>
    <row r="79" spans="1:8" x14ac:dyDescent="0.25">
      <c r="A79" s="40" t="s">
        <v>66</v>
      </c>
    </row>
    <row r="80" spans="1:8" x14ac:dyDescent="0.25">
      <c r="A80" t="s">
        <v>67</v>
      </c>
    </row>
    <row r="81" spans="1:1" x14ac:dyDescent="0.25">
      <c r="A81" t="s">
        <v>68</v>
      </c>
    </row>
    <row r="82" spans="1:1" x14ac:dyDescent="0.25">
      <c r="A82" t="s">
        <v>69</v>
      </c>
    </row>
    <row r="83" spans="1:1" x14ac:dyDescent="0.25">
      <c r="A83" t="s">
        <v>70</v>
      </c>
    </row>
    <row r="84" spans="1:1" x14ac:dyDescent="0.25">
      <c r="A84" t="s">
        <v>71</v>
      </c>
    </row>
    <row r="86" spans="1:1" x14ac:dyDescent="0.25">
      <c r="A86" s="41" t="s">
        <v>66</v>
      </c>
    </row>
    <row r="87" spans="1:1" x14ac:dyDescent="0.25">
      <c r="A87" t="s">
        <v>67</v>
      </c>
    </row>
    <row r="88" spans="1:1" x14ac:dyDescent="0.25">
      <c r="A88" t="s">
        <v>68</v>
      </c>
    </row>
    <row r="89" spans="1:1" x14ac:dyDescent="0.25">
      <c r="A89" t="s">
        <v>69</v>
      </c>
    </row>
    <row r="90" spans="1:1" x14ac:dyDescent="0.25">
      <c r="A90" t="s">
        <v>70</v>
      </c>
    </row>
    <row r="91" spans="1:1" x14ac:dyDescent="0.25">
      <c r="A91" t="s">
        <v>72</v>
      </c>
    </row>
  </sheetData>
  <mergeCells count="2">
    <mergeCell ref="N46:P46"/>
    <mergeCell ref="N47:P47"/>
  </mergeCells>
  <phoneticPr fontId="10" type="noConversion"/>
  <pageMargins left="0.7" right="0.7" top="0.75" bottom="0.75" header="0.3" footer="0.3"/>
  <pageSetup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6F97EC-3B95-45E3-836D-6917858917C5}">
  <dimension ref="A1:AD97"/>
  <sheetViews>
    <sheetView topLeftCell="G1" workbookViewId="0">
      <selection activeCell="G4" sqref="A4:XFD11"/>
    </sheetView>
  </sheetViews>
  <sheetFormatPr defaultRowHeight="15" x14ac:dyDescent="0.25"/>
  <cols>
    <col min="1" max="1" width="68.140625" hidden="1" customWidth="1"/>
    <col min="2" max="3" width="8.85546875" hidden="1" customWidth="1"/>
    <col min="4" max="4" width="23.7109375" style="1" hidden="1" customWidth="1"/>
    <col min="5" max="5" width="0" style="1" hidden="1" customWidth="1"/>
    <col min="6" max="6" width="0" hidden="1" customWidth="1"/>
    <col min="7" max="7" width="13.7109375" bestFit="1" customWidth="1"/>
    <col min="8" max="9" width="32.7109375" style="2" customWidth="1"/>
    <col min="10" max="10" width="57.7109375" style="2" customWidth="1"/>
    <col min="11" max="11" width="28.85546875" style="2" customWidth="1"/>
    <col min="12" max="13" width="30.7109375" style="2" customWidth="1"/>
    <col min="14" max="14" width="17.85546875" style="4" customWidth="1"/>
    <col min="15" max="15" width="26.7109375" style="2" customWidth="1"/>
    <col min="16" max="17" width="31.42578125" style="2" customWidth="1"/>
    <col min="18" max="18" width="16.140625" style="2" customWidth="1"/>
    <col min="19" max="19" width="14.5703125" style="2" customWidth="1"/>
    <col min="22" max="22" width="15.85546875" customWidth="1"/>
    <col min="23" max="23" width="12.5703125" customWidth="1"/>
    <col min="24" max="24" width="13.5703125" customWidth="1"/>
    <col min="25" max="25" width="11.85546875" customWidth="1"/>
  </cols>
  <sheetData>
    <row r="1" spans="1:26" s="2" customFormat="1" x14ac:dyDescent="0.25">
      <c r="D1" s="4"/>
      <c r="E1" s="4"/>
      <c r="H1" s="2" t="s">
        <v>0</v>
      </c>
      <c r="I1" s="3">
        <v>3.5</v>
      </c>
      <c r="N1" s="4"/>
    </row>
    <row r="2" spans="1:26" s="2" customFormat="1" ht="13.5" customHeight="1" x14ac:dyDescent="0.25">
      <c r="D2" s="77" t="s">
        <v>1</v>
      </c>
      <c r="E2" s="77" t="s">
        <v>2</v>
      </c>
      <c r="F2" s="11"/>
      <c r="G2" s="11"/>
      <c r="H2" s="2" t="s">
        <v>3</v>
      </c>
      <c r="I2" s="3">
        <v>7</v>
      </c>
      <c r="N2" s="4"/>
    </row>
    <row r="3" spans="1:26" s="2" customFormat="1" ht="42" customHeight="1" x14ac:dyDescent="0.25">
      <c r="D3" s="77"/>
      <c r="E3" s="77"/>
      <c r="F3" s="11"/>
      <c r="G3" s="11"/>
      <c r="H3" s="2" t="s">
        <v>4</v>
      </c>
      <c r="I3" s="56">
        <v>0.62137100000000001</v>
      </c>
      <c r="K3" s="7" t="s">
        <v>5</v>
      </c>
      <c r="L3" s="7" t="s">
        <v>6</v>
      </c>
      <c r="M3" s="7" t="s">
        <v>7</v>
      </c>
      <c r="N3" s="8" t="s">
        <v>8</v>
      </c>
      <c r="O3" s="7" t="s">
        <v>9</v>
      </c>
    </row>
    <row r="4" spans="1:26" s="2" customFormat="1" ht="13.5" customHeight="1" x14ac:dyDescent="0.25">
      <c r="D4" s="77"/>
      <c r="E4" s="77"/>
      <c r="F4" s="11"/>
      <c r="G4" s="11"/>
      <c r="J4" s="2" t="s">
        <v>100</v>
      </c>
      <c r="K4" s="9">
        <v>3</v>
      </c>
      <c r="L4" s="9">
        <v>3</v>
      </c>
      <c r="M4" s="9">
        <v>9</v>
      </c>
      <c r="N4" s="9">
        <v>9</v>
      </c>
      <c r="O4" s="9">
        <v>3</v>
      </c>
    </row>
    <row r="5" spans="1:26" s="2" customFormat="1" ht="13.5" customHeight="1" x14ac:dyDescent="0.25">
      <c r="D5" s="77"/>
      <c r="E5" s="77"/>
      <c r="F5" s="11"/>
      <c r="G5" s="11"/>
      <c r="H5" s="2" t="s">
        <v>10</v>
      </c>
      <c r="I5" s="3" t="s">
        <v>11</v>
      </c>
      <c r="J5" s="2" t="s">
        <v>101</v>
      </c>
      <c r="K5" s="62">
        <v>1.86</v>
      </c>
      <c r="L5" s="62">
        <v>1.86</v>
      </c>
      <c r="M5" s="62">
        <v>5.59</v>
      </c>
      <c r="N5" s="62">
        <v>5.59</v>
      </c>
      <c r="O5" s="62">
        <v>1.86</v>
      </c>
    </row>
    <row r="6" spans="1:26" s="2" customFormat="1" ht="13.5" customHeight="1" x14ac:dyDescent="0.25">
      <c r="D6" s="77"/>
      <c r="E6" s="77"/>
      <c r="F6" s="11"/>
      <c r="G6" s="11"/>
      <c r="I6" s="3"/>
      <c r="J6" s="2" t="s">
        <v>103</v>
      </c>
      <c r="K6" s="9">
        <f>K5/(SUM($K$5:$O$5))</f>
        <v>0.11097852028639618</v>
      </c>
      <c r="L6" s="9">
        <f t="shared" ref="L6:O6" si="0">L5/(SUM($K$5:$O$5))</f>
        <v>0.11097852028639618</v>
      </c>
      <c r="M6" s="9">
        <f t="shared" si="0"/>
        <v>0.33353221957040569</v>
      </c>
      <c r="N6" s="9">
        <f t="shared" si="0"/>
        <v>0.33353221957040569</v>
      </c>
      <c r="O6" s="9">
        <f t="shared" si="0"/>
        <v>0.11097852028639618</v>
      </c>
    </row>
    <row r="7" spans="1:26" s="2" customFormat="1" ht="13.5" customHeight="1" x14ac:dyDescent="0.25">
      <c r="D7" s="77"/>
      <c r="E7" s="77"/>
      <c r="F7" s="11"/>
      <c r="G7" s="11"/>
      <c r="H7" s="2" t="s">
        <v>12</v>
      </c>
      <c r="I7" s="3" t="s">
        <v>13</v>
      </c>
      <c r="J7" s="2" t="s">
        <v>102</v>
      </c>
      <c r="K7" s="61">
        <v>2</v>
      </c>
      <c r="L7" s="61">
        <v>2</v>
      </c>
      <c r="M7" s="61">
        <v>1</v>
      </c>
      <c r="N7" s="61">
        <v>1</v>
      </c>
      <c r="O7" s="61">
        <v>2</v>
      </c>
    </row>
    <row r="8" spans="1:26" s="2" customFormat="1" ht="13.5" customHeight="1" x14ac:dyDescent="0.25">
      <c r="D8" s="77"/>
      <c r="E8" s="77"/>
      <c r="F8" s="11"/>
      <c r="G8" s="11"/>
      <c r="I8" s="3"/>
      <c r="J8" s="2" t="s">
        <v>104</v>
      </c>
      <c r="K8" s="9">
        <f>K7/SUM($K$7:$O$7)</f>
        <v>0.25</v>
      </c>
      <c r="L8" s="9">
        <f t="shared" ref="L8:O8" si="1">L7/SUM($K$7:$O$7)</f>
        <v>0.25</v>
      </c>
      <c r="M8" s="9">
        <f t="shared" si="1"/>
        <v>0.125</v>
      </c>
      <c r="N8" s="9">
        <f t="shared" si="1"/>
        <v>0.125</v>
      </c>
      <c r="O8" s="9">
        <f t="shared" si="1"/>
        <v>0.25</v>
      </c>
    </row>
    <row r="9" spans="1:26" s="2" customFormat="1" ht="13.5" customHeight="1" x14ac:dyDescent="0.25">
      <c r="D9" s="77"/>
      <c r="E9" s="77"/>
      <c r="F9" s="11"/>
      <c r="G9" s="11"/>
      <c r="I9" s="3"/>
      <c r="K9" s="9"/>
      <c r="L9" s="9"/>
      <c r="M9" s="9"/>
      <c r="N9" s="9"/>
      <c r="O9" s="9"/>
    </row>
    <row r="10" spans="1:26" s="2" customFormat="1" ht="13.5" customHeight="1" x14ac:dyDescent="0.25">
      <c r="D10" s="77"/>
      <c r="E10" s="77"/>
      <c r="F10" s="11"/>
      <c r="G10" s="11"/>
      <c r="H10" s="2" t="s">
        <v>14</v>
      </c>
      <c r="I10" s="3"/>
      <c r="J10" s="10">
        <f>SUM(K10:O10)</f>
        <v>0.62092631264916454</v>
      </c>
      <c r="K10" s="9">
        <f>K5*K6*K8</f>
        <v>5.1605011933174225E-2</v>
      </c>
      <c r="L10" s="9">
        <f t="shared" ref="L10:O10" si="2">L5*L6*L8</f>
        <v>5.1605011933174225E-2</v>
      </c>
      <c r="M10" s="9">
        <f t="shared" si="2"/>
        <v>0.23305563842482097</v>
      </c>
      <c r="N10" s="9">
        <f t="shared" si="2"/>
        <v>0.23305563842482097</v>
      </c>
      <c r="O10" s="9">
        <f t="shared" si="2"/>
        <v>5.1605011933174225E-2</v>
      </c>
    </row>
    <row r="11" spans="1:26" s="2" customFormat="1" ht="15.75" thickBot="1" x14ac:dyDescent="0.3">
      <c r="A11" s="2" t="s">
        <v>15</v>
      </c>
      <c r="C11" s="2" t="s">
        <v>16</v>
      </c>
      <c r="D11" s="77"/>
      <c r="E11" s="77" t="s">
        <v>17</v>
      </c>
      <c r="F11" s="11"/>
      <c r="G11" s="11"/>
      <c r="H11" s="11"/>
      <c r="R11" s="2" t="s">
        <v>18</v>
      </c>
      <c r="S11" s="2" t="s">
        <v>18</v>
      </c>
      <c r="T11" s="2" t="s">
        <v>18</v>
      </c>
      <c r="U11" s="2" t="s">
        <v>18</v>
      </c>
      <c r="V11" s="2" t="s">
        <v>18</v>
      </c>
    </row>
    <row r="12" spans="1:26" ht="91.5" thickTop="1" thickBot="1" x14ac:dyDescent="0.3">
      <c r="A12" t="s">
        <v>19</v>
      </c>
      <c r="C12" t="s">
        <v>16</v>
      </c>
      <c r="D12" s="5"/>
      <c r="E12" s="5" t="s">
        <v>17</v>
      </c>
      <c r="F12" s="6"/>
      <c r="G12" s="6"/>
      <c r="H12" s="11" t="s">
        <v>20</v>
      </c>
      <c r="I12" s="2" t="s">
        <v>21</v>
      </c>
      <c r="J12" s="2" t="s">
        <v>22</v>
      </c>
      <c r="K12" s="12" t="s">
        <v>23</v>
      </c>
      <c r="L12" s="12" t="s">
        <v>24</v>
      </c>
      <c r="M12" s="12" t="s">
        <v>25</v>
      </c>
      <c r="N12" s="12" t="s">
        <v>26</v>
      </c>
      <c r="O12" s="12" t="s">
        <v>27</v>
      </c>
      <c r="P12" s="7" t="s">
        <v>105</v>
      </c>
      <c r="Q12" s="7" t="s">
        <v>106</v>
      </c>
      <c r="R12" s="13" t="s">
        <v>5</v>
      </c>
      <c r="S12" s="14" t="s">
        <v>6</v>
      </c>
      <c r="T12" s="14" t="s">
        <v>7</v>
      </c>
      <c r="U12" s="14" t="s">
        <v>8</v>
      </c>
      <c r="V12" s="14" t="s">
        <v>9</v>
      </c>
      <c r="W12" s="15" t="s">
        <v>28</v>
      </c>
      <c r="X12" s="15" t="s">
        <v>108</v>
      </c>
      <c r="Y12" s="15" t="s">
        <v>107</v>
      </c>
      <c r="Z12" s="15" t="s">
        <v>29</v>
      </c>
    </row>
    <row r="13" spans="1:26" x14ac:dyDescent="0.25">
      <c r="A13" s="16" t="s">
        <v>32</v>
      </c>
      <c r="D13" s="5" t="s">
        <v>17</v>
      </c>
      <c r="E13" s="5"/>
      <c r="F13" s="6"/>
      <c r="G13" s="6"/>
      <c r="H13" s="58" t="s">
        <v>73</v>
      </c>
      <c r="I13" s="58" t="s">
        <v>83</v>
      </c>
      <c r="J13" s="58" t="s">
        <v>31</v>
      </c>
      <c r="K13" s="59">
        <v>0.15</v>
      </c>
      <c r="L13" s="59">
        <v>2.17</v>
      </c>
      <c r="M13" s="59">
        <v>3.8</v>
      </c>
      <c r="N13" s="59">
        <v>4.8</v>
      </c>
      <c r="O13" s="59">
        <v>4.68</v>
      </c>
      <c r="P13" s="60">
        <v>0</v>
      </c>
      <c r="Q13" s="60">
        <v>1</v>
      </c>
      <c r="R13" s="63">
        <f t="shared" ref="R13:R21" si="3">MIN(K13,K$5)</f>
        <v>0.15</v>
      </c>
      <c r="S13" s="63">
        <f t="shared" ref="S13:V21" si="4">MIN(L13,L$5)</f>
        <v>1.86</v>
      </c>
      <c r="T13" s="63">
        <f t="shared" si="4"/>
        <v>3.8</v>
      </c>
      <c r="U13" s="63">
        <f t="shared" si="4"/>
        <v>4.8</v>
      </c>
      <c r="V13" s="63">
        <f t="shared" si="4"/>
        <v>1.86</v>
      </c>
      <c r="W13" s="63">
        <f t="shared" ref="W13:W21" si="5">(R13*K$8*K$6)+(S13*L$8*L$6)+(T13*M$8*M$6)+(U13*N$8*N$6)+(V13*O$8*O$6)</f>
        <v>0.46591885441527442</v>
      </c>
      <c r="X13" s="63">
        <f t="shared" ref="X13:X21" si="6">W13/$J$10</f>
        <v>0.75036094448541701</v>
      </c>
      <c r="Y13" s="63">
        <f t="shared" ref="Y13:Y21" si="7">1-X13</f>
        <v>0.24963905551458299</v>
      </c>
      <c r="Z13" s="64">
        <f t="shared" ref="Z13:Z21" si="8">IF((P13+Q13)&gt;0,0,1)</f>
        <v>0</v>
      </c>
    </row>
    <row r="14" spans="1:26" x14ac:dyDescent="0.25">
      <c r="A14" t="s">
        <v>33</v>
      </c>
      <c r="D14" s="5" t="s">
        <v>17</v>
      </c>
      <c r="E14" s="5"/>
      <c r="F14" s="6"/>
      <c r="G14" s="6"/>
      <c r="H14" s="58" t="s">
        <v>74</v>
      </c>
      <c r="I14" s="58" t="s">
        <v>30</v>
      </c>
      <c r="J14" s="58" t="s">
        <v>31</v>
      </c>
      <c r="K14" s="59">
        <v>0.2</v>
      </c>
      <c r="L14" s="59">
        <v>7.0000000000000007E-2</v>
      </c>
      <c r="M14" s="59">
        <v>3.88</v>
      </c>
      <c r="N14" s="59">
        <v>7.23</v>
      </c>
      <c r="O14" s="59">
        <v>1.9</v>
      </c>
      <c r="P14" s="60">
        <v>0</v>
      </c>
      <c r="Q14" s="60">
        <v>0</v>
      </c>
      <c r="R14" s="63">
        <f t="shared" si="3"/>
        <v>0.2</v>
      </c>
      <c r="S14" s="63">
        <f t="shared" si="4"/>
        <v>7.0000000000000007E-2</v>
      </c>
      <c r="T14" s="63">
        <f t="shared" si="4"/>
        <v>3.88</v>
      </c>
      <c r="U14" s="63">
        <f t="shared" si="4"/>
        <v>5.59</v>
      </c>
      <c r="V14" s="63">
        <f t="shared" si="4"/>
        <v>1.86</v>
      </c>
      <c r="W14" s="63">
        <f t="shared" si="5"/>
        <v>0.45391482696897367</v>
      </c>
      <c r="X14" s="63">
        <f t="shared" si="6"/>
        <v>0.73102849359428645</v>
      </c>
      <c r="Y14" s="63">
        <f t="shared" si="7"/>
        <v>0.26897150640571355</v>
      </c>
      <c r="Z14" s="64">
        <f t="shared" si="8"/>
        <v>1</v>
      </c>
    </row>
    <row r="15" spans="1:26" x14ac:dyDescent="0.25">
      <c r="A15" t="s">
        <v>34</v>
      </c>
      <c r="D15" s="5" t="s">
        <v>17</v>
      </c>
      <c r="E15" s="5"/>
      <c r="F15" s="6"/>
      <c r="G15" s="6"/>
      <c r="H15" s="58" t="s">
        <v>75</v>
      </c>
      <c r="I15" s="58" t="s">
        <v>83</v>
      </c>
      <c r="J15" s="58" t="s">
        <v>82</v>
      </c>
      <c r="K15" s="59">
        <v>0.42</v>
      </c>
      <c r="L15" s="59">
        <v>0.12</v>
      </c>
      <c r="M15" s="59">
        <v>5.2</v>
      </c>
      <c r="N15" s="59">
        <v>7.32</v>
      </c>
      <c r="O15" s="59">
        <v>4.83</v>
      </c>
      <c r="P15" s="60">
        <v>0</v>
      </c>
      <c r="Q15" s="60">
        <v>0</v>
      </c>
      <c r="R15" s="63">
        <f t="shared" si="3"/>
        <v>0.42</v>
      </c>
      <c r="S15" s="63">
        <f t="shared" si="4"/>
        <v>0.12</v>
      </c>
      <c r="T15" s="63">
        <f t="shared" si="4"/>
        <v>5.2</v>
      </c>
      <c r="U15" s="63">
        <f t="shared" si="4"/>
        <v>5.59</v>
      </c>
      <c r="V15" s="63">
        <f t="shared" si="4"/>
        <v>1.86</v>
      </c>
      <c r="W15" s="63">
        <f t="shared" si="5"/>
        <v>0.51643869331742231</v>
      </c>
      <c r="X15" s="63">
        <f t="shared" si="6"/>
        <v>0.83172299642779068</v>
      </c>
      <c r="Y15" s="63">
        <f t="shared" si="7"/>
        <v>0.16827700357220932</v>
      </c>
      <c r="Z15" s="64">
        <f t="shared" si="8"/>
        <v>1</v>
      </c>
    </row>
    <row r="16" spans="1:26" x14ac:dyDescent="0.25">
      <c r="A16" s="20" t="s">
        <v>35</v>
      </c>
      <c r="D16" s="5" t="s">
        <v>17</v>
      </c>
      <c r="E16" s="5"/>
      <c r="F16" s="6"/>
      <c r="G16" s="6"/>
      <c r="H16" s="58" t="s">
        <v>76</v>
      </c>
      <c r="I16" s="58" t="s">
        <v>83</v>
      </c>
      <c r="J16" s="58" t="s">
        <v>82</v>
      </c>
      <c r="K16" s="59">
        <v>0.45</v>
      </c>
      <c r="L16" s="59">
        <v>0.65</v>
      </c>
      <c r="M16" s="59">
        <v>7.11</v>
      </c>
      <c r="N16" s="59">
        <v>7.6</v>
      </c>
      <c r="O16" s="59">
        <v>3.39</v>
      </c>
      <c r="P16" s="60">
        <v>0</v>
      </c>
      <c r="Q16" s="60">
        <v>0</v>
      </c>
      <c r="R16" s="63">
        <f t="shared" si="3"/>
        <v>0.45</v>
      </c>
      <c r="S16" s="63">
        <f t="shared" si="4"/>
        <v>0.65</v>
      </c>
      <c r="T16" s="63">
        <f t="shared" si="4"/>
        <v>5.59</v>
      </c>
      <c r="U16" s="63">
        <f t="shared" si="4"/>
        <v>5.59</v>
      </c>
      <c r="V16" s="63">
        <f t="shared" si="4"/>
        <v>1.86</v>
      </c>
      <c r="W16" s="63">
        <f t="shared" si="5"/>
        <v>0.54823538186157506</v>
      </c>
      <c r="X16" s="63">
        <f t="shared" si="6"/>
        <v>0.88293146979477211</v>
      </c>
      <c r="Y16" s="63">
        <f t="shared" si="7"/>
        <v>0.11706853020522789</v>
      </c>
      <c r="Z16" s="64">
        <f t="shared" si="8"/>
        <v>1</v>
      </c>
    </row>
    <row r="17" spans="1:30" x14ac:dyDescent="0.25">
      <c r="A17" s="21" t="s">
        <v>36</v>
      </c>
      <c r="D17" s="5"/>
      <c r="E17" s="5"/>
      <c r="F17" s="6"/>
      <c r="G17" s="6"/>
      <c r="H17" s="58" t="s">
        <v>77</v>
      </c>
      <c r="I17" s="58" t="s">
        <v>83</v>
      </c>
      <c r="J17" s="58" t="s">
        <v>82</v>
      </c>
      <c r="K17" s="59">
        <v>0.52</v>
      </c>
      <c r="L17" s="59">
        <v>2.33</v>
      </c>
      <c r="M17" s="59">
        <v>9.0299999999999994</v>
      </c>
      <c r="N17" s="59">
        <v>6.23</v>
      </c>
      <c r="O17" s="59">
        <v>1.45</v>
      </c>
      <c r="P17" s="60">
        <v>0</v>
      </c>
      <c r="Q17" s="60">
        <v>0</v>
      </c>
      <c r="R17" s="63">
        <f t="shared" si="3"/>
        <v>0.52</v>
      </c>
      <c r="S17" s="63">
        <f t="shared" si="4"/>
        <v>1.86</v>
      </c>
      <c r="T17" s="63">
        <f t="shared" si="4"/>
        <v>5.59</v>
      </c>
      <c r="U17" s="63">
        <f t="shared" si="4"/>
        <v>5.59</v>
      </c>
      <c r="V17" s="63">
        <f t="shared" si="4"/>
        <v>1.45</v>
      </c>
      <c r="W17" s="63">
        <f t="shared" si="5"/>
        <v>0.57237321002386632</v>
      </c>
      <c r="X17" s="63">
        <f t="shared" si="6"/>
        <v>0.92180537104612659</v>
      </c>
      <c r="Y17" s="63">
        <f t="shared" si="7"/>
        <v>7.8194628953873413E-2</v>
      </c>
      <c r="Z17" s="64">
        <f t="shared" si="8"/>
        <v>1</v>
      </c>
    </row>
    <row r="18" spans="1:30" x14ac:dyDescent="0.25">
      <c r="A18" s="20"/>
      <c r="D18" s="5"/>
      <c r="E18" s="5"/>
      <c r="F18" s="6"/>
      <c r="G18" s="6"/>
      <c r="H18" s="58" t="s">
        <v>78</v>
      </c>
      <c r="I18" s="58" t="s">
        <v>83</v>
      </c>
      <c r="J18" s="58" t="s">
        <v>82</v>
      </c>
      <c r="K18" s="59">
        <v>0.65</v>
      </c>
      <c r="L18" s="59">
        <v>1.07</v>
      </c>
      <c r="M18" s="59">
        <v>9.35</v>
      </c>
      <c r="N18" s="59">
        <v>3.84</v>
      </c>
      <c r="O18" s="59">
        <v>0.66</v>
      </c>
      <c r="P18" s="60">
        <v>0</v>
      </c>
      <c r="Q18" s="60">
        <v>0</v>
      </c>
      <c r="R18" s="63">
        <f t="shared" si="3"/>
        <v>0.65</v>
      </c>
      <c r="S18" s="63">
        <f t="shared" si="4"/>
        <v>1.07</v>
      </c>
      <c r="T18" s="63">
        <f t="shared" si="4"/>
        <v>5.59</v>
      </c>
      <c r="U18" s="63">
        <f t="shared" si="4"/>
        <v>3.84</v>
      </c>
      <c r="V18" s="63">
        <f t="shared" si="4"/>
        <v>0.66</v>
      </c>
      <c r="W18" s="63">
        <f t="shared" si="5"/>
        <v>0.4591833233890214</v>
      </c>
      <c r="X18" s="63">
        <f t="shared" si="6"/>
        <v>0.73951339158092488</v>
      </c>
      <c r="Y18" s="63">
        <f t="shared" si="7"/>
        <v>0.26048660841907512</v>
      </c>
      <c r="Z18" s="64">
        <f t="shared" si="8"/>
        <v>1</v>
      </c>
    </row>
    <row r="19" spans="1:30" x14ac:dyDescent="0.25">
      <c r="A19" t="s">
        <v>37</v>
      </c>
      <c r="D19" s="5"/>
      <c r="E19" s="5" t="s">
        <v>17</v>
      </c>
      <c r="F19" s="6"/>
      <c r="G19" s="6"/>
      <c r="H19" s="58" t="s">
        <v>79</v>
      </c>
      <c r="I19" s="58" t="s">
        <v>83</v>
      </c>
      <c r="J19" s="58" t="s">
        <v>82</v>
      </c>
      <c r="K19" s="59">
        <v>0.35</v>
      </c>
      <c r="L19" s="59">
        <v>0.83</v>
      </c>
      <c r="M19" s="59">
        <v>7.44</v>
      </c>
      <c r="N19" s="59">
        <v>3.18</v>
      </c>
      <c r="O19" s="59">
        <v>2.09</v>
      </c>
      <c r="P19" s="60">
        <v>0</v>
      </c>
      <c r="Q19" s="60">
        <v>0</v>
      </c>
      <c r="R19" s="63">
        <f t="shared" si="3"/>
        <v>0.35</v>
      </c>
      <c r="S19" s="63">
        <f t="shared" si="4"/>
        <v>0.83</v>
      </c>
      <c r="T19" s="63">
        <f t="shared" si="4"/>
        <v>5.59</v>
      </c>
      <c r="U19" s="63">
        <f t="shared" si="4"/>
        <v>3.18</v>
      </c>
      <c r="V19" s="63">
        <f t="shared" si="4"/>
        <v>1.86</v>
      </c>
      <c r="W19" s="63">
        <f t="shared" si="5"/>
        <v>0.44997837112171835</v>
      </c>
      <c r="X19" s="63">
        <f t="shared" si="6"/>
        <v>0.72468884303178971</v>
      </c>
      <c r="Y19" s="63">
        <f t="shared" si="7"/>
        <v>0.27531115696821029</v>
      </c>
      <c r="Z19" s="64">
        <f t="shared" si="8"/>
        <v>1</v>
      </c>
    </row>
    <row r="20" spans="1:30" x14ac:dyDescent="0.25">
      <c r="A20" t="s">
        <v>38</v>
      </c>
      <c r="D20" s="5"/>
      <c r="E20" s="5"/>
      <c r="F20" s="6"/>
      <c r="G20" s="6"/>
      <c r="H20" s="58" t="s">
        <v>80</v>
      </c>
      <c r="I20" s="58" t="s">
        <v>30</v>
      </c>
      <c r="J20" s="58" t="s">
        <v>82</v>
      </c>
      <c r="K20" s="59">
        <v>0.62</v>
      </c>
      <c r="L20" s="59">
        <v>0.83</v>
      </c>
      <c r="M20" s="59">
        <v>4.79</v>
      </c>
      <c r="N20" s="59">
        <v>5.0999999999999996</v>
      </c>
      <c r="O20" s="59">
        <v>2</v>
      </c>
      <c r="P20" s="60">
        <v>0</v>
      </c>
      <c r="Q20" s="60">
        <v>0</v>
      </c>
      <c r="R20" s="63">
        <f t="shared" si="3"/>
        <v>0.62</v>
      </c>
      <c r="S20" s="63">
        <f t="shared" si="4"/>
        <v>0.83</v>
      </c>
      <c r="T20" s="63">
        <f t="shared" si="4"/>
        <v>4.79</v>
      </c>
      <c r="U20" s="63">
        <f t="shared" si="4"/>
        <v>5.0999999999999996</v>
      </c>
      <c r="V20" s="63">
        <f t="shared" si="4"/>
        <v>1.86</v>
      </c>
      <c r="W20" s="63">
        <f t="shared" si="5"/>
        <v>0.50416393198090681</v>
      </c>
      <c r="X20" s="63">
        <f t="shared" si="6"/>
        <v>0.81195452940286206</v>
      </c>
      <c r="Y20" s="63">
        <f t="shared" si="7"/>
        <v>0.18804547059713794</v>
      </c>
      <c r="Z20" s="64">
        <f t="shared" si="8"/>
        <v>1</v>
      </c>
    </row>
    <row r="21" spans="1:30" x14ac:dyDescent="0.25">
      <c r="A21" t="s">
        <v>39</v>
      </c>
      <c r="D21" s="5"/>
      <c r="E21" s="5" t="s">
        <v>17</v>
      </c>
      <c r="F21" s="6"/>
      <c r="G21" s="6"/>
      <c r="H21" s="58" t="s">
        <v>81</v>
      </c>
      <c r="I21" s="58" t="s">
        <v>30</v>
      </c>
      <c r="J21" s="58" t="s">
        <v>82</v>
      </c>
      <c r="K21" s="59">
        <v>0.32</v>
      </c>
      <c r="L21" s="59">
        <v>0.57999999999999996</v>
      </c>
      <c r="M21" s="59">
        <v>3.12</v>
      </c>
      <c r="N21" s="59">
        <v>5.0599999999999996</v>
      </c>
      <c r="O21" s="59">
        <v>2.84</v>
      </c>
      <c r="P21" s="60">
        <v>0</v>
      </c>
      <c r="Q21" s="60">
        <v>0</v>
      </c>
      <c r="R21" s="63">
        <f t="shared" si="3"/>
        <v>0.32</v>
      </c>
      <c r="S21" s="63">
        <f t="shared" si="4"/>
        <v>0.57999999999999996</v>
      </c>
      <c r="T21" s="63">
        <f t="shared" si="4"/>
        <v>3.12</v>
      </c>
      <c r="U21" s="63">
        <f t="shared" si="4"/>
        <v>5.0599999999999996</v>
      </c>
      <c r="V21" s="63">
        <f t="shared" si="4"/>
        <v>1.86</v>
      </c>
      <c r="W21" s="63">
        <f t="shared" si="5"/>
        <v>0.41761187350835316</v>
      </c>
      <c r="X21" s="63">
        <f t="shared" si="6"/>
        <v>0.67256269383499623</v>
      </c>
      <c r="Y21" s="63">
        <f t="shared" si="7"/>
        <v>0.32743730616500377</v>
      </c>
      <c r="Z21" s="64">
        <f t="shared" si="8"/>
        <v>1</v>
      </c>
    </row>
    <row r="22" spans="1:30" x14ac:dyDescent="0.25">
      <c r="A22" s="22" t="s">
        <v>40</v>
      </c>
      <c r="D22" s="5"/>
      <c r="E22" s="5" t="s">
        <v>17</v>
      </c>
      <c r="F22" s="6"/>
      <c r="G22" s="6"/>
      <c r="H22" s="17"/>
      <c r="I22" s="18"/>
      <c r="J22" s="18"/>
      <c r="K22" s="18"/>
      <c r="L22" s="18"/>
      <c r="M22" s="18"/>
      <c r="N22" s="19"/>
      <c r="O22" s="18"/>
      <c r="P22" s="18"/>
      <c r="Q22" s="18"/>
      <c r="R22" s="18"/>
      <c r="S22" s="18"/>
      <c r="T22" s="18"/>
      <c r="U22" s="18"/>
      <c r="V22" s="18"/>
      <c r="W22" s="18"/>
      <c r="X22" s="18"/>
      <c r="Y22" s="18"/>
      <c r="Z22" s="18"/>
      <c r="AA22" s="18"/>
      <c r="AB22" s="18"/>
      <c r="AC22" s="18"/>
      <c r="AD22" s="18"/>
    </row>
    <row r="23" spans="1:30" x14ac:dyDescent="0.25">
      <c r="D23" s="5"/>
      <c r="E23" s="5"/>
      <c r="F23" s="6"/>
      <c r="G23" s="6"/>
      <c r="H23" s="17"/>
      <c r="I23" s="18"/>
      <c r="J23" s="18"/>
      <c r="K23" s="18"/>
      <c r="L23" s="18"/>
      <c r="M23" s="18"/>
      <c r="N23" s="19"/>
      <c r="O23" s="18"/>
      <c r="P23" s="18"/>
      <c r="Q23" s="18"/>
      <c r="R23" s="18"/>
      <c r="S23" s="18"/>
      <c r="T23" s="18"/>
      <c r="U23" s="18"/>
      <c r="V23" s="18"/>
      <c r="W23" s="18"/>
      <c r="X23" s="18"/>
      <c r="Y23" s="18"/>
      <c r="Z23" s="18"/>
      <c r="AA23" s="18"/>
      <c r="AB23" s="18"/>
      <c r="AC23" s="18"/>
      <c r="AD23" s="18"/>
    </row>
    <row r="24" spans="1:30" x14ac:dyDescent="0.25">
      <c r="A24" s="16" t="s">
        <v>41</v>
      </c>
      <c r="D24" s="5"/>
      <c r="E24" s="5"/>
      <c r="F24" s="6"/>
      <c r="G24" s="6"/>
      <c r="H24" s="17"/>
      <c r="I24" s="18"/>
      <c r="J24" s="18"/>
      <c r="K24" s="18"/>
      <c r="L24" s="18"/>
      <c r="M24" s="18"/>
      <c r="N24" s="19"/>
      <c r="O24" s="18"/>
      <c r="P24" s="18"/>
      <c r="Q24" s="18"/>
      <c r="R24" s="18"/>
      <c r="S24" s="18"/>
      <c r="T24" s="18"/>
      <c r="U24" s="18"/>
      <c r="V24" s="18"/>
      <c r="W24" s="18"/>
      <c r="X24" s="18"/>
      <c r="Y24" s="18"/>
      <c r="Z24" s="18"/>
      <c r="AA24" s="18"/>
      <c r="AB24" s="18"/>
      <c r="AC24" s="18"/>
      <c r="AD24" s="18"/>
    </row>
    <row r="25" spans="1:30" x14ac:dyDescent="0.25">
      <c r="A25" s="23" t="s">
        <v>42</v>
      </c>
      <c r="B25" s="24"/>
      <c r="C25" s="24"/>
      <c r="D25" s="25"/>
      <c r="E25" s="5" t="s">
        <v>17</v>
      </c>
      <c r="F25" s="6"/>
      <c r="G25" s="6"/>
      <c r="H25" s="17"/>
      <c r="I25" s="18"/>
      <c r="J25" s="18"/>
      <c r="K25" s="18"/>
      <c r="L25" s="18"/>
      <c r="M25" s="18"/>
      <c r="N25" s="19"/>
      <c r="O25" s="18"/>
      <c r="P25" s="18"/>
      <c r="Q25" s="18"/>
      <c r="R25" s="18"/>
      <c r="S25" s="18"/>
      <c r="T25" s="18"/>
      <c r="U25" s="18"/>
      <c r="V25" s="18"/>
      <c r="W25" s="18"/>
      <c r="X25" s="18"/>
      <c r="Y25" s="18"/>
      <c r="Z25" s="18"/>
      <c r="AA25" s="18"/>
      <c r="AB25" s="18"/>
      <c r="AC25" s="18"/>
      <c r="AD25" s="18"/>
    </row>
    <row r="26" spans="1:30" x14ac:dyDescent="0.25">
      <c r="A26" t="s">
        <v>43</v>
      </c>
      <c r="D26" s="5"/>
      <c r="E26" s="5" t="s">
        <v>17</v>
      </c>
      <c r="F26" s="6"/>
      <c r="G26" s="6"/>
      <c r="H26" s="17"/>
      <c r="I26" s="18"/>
      <c r="J26" s="18"/>
      <c r="K26" s="18"/>
      <c r="L26" s="18"/>
      <c r="M26" s="18"/>
      <c r="N26" s="19"/>
      <c r="O26" s="18"/>
      <c r="P26" s="18"/>
      <c r="Q26" s="18"/>
      <c r="R26" s="18"/>
      <c r="S26" s="18"/>
      <c r="T26" s="18"/>
      <c r="U26" s="18"/>
      <c r="V26" s="18"/>
      <c r="W26" s="18"/>
      <c r="X26" s="18"/>
      <c r="Y26" s="18"/>
      <c r="Z26" s="18"/>
      <c r="AA26" s="18"/>
      <c r="AB26" s="18"/>
      <c r="AC26" s="18"/>
      <c r="AD26" s="18"/>
    </row>
    <row r="27" spans="1:30" x14ac:dyDescent="0.25">
      <c r="D27" s="5"/>
      <c r="E27" s="5"/>
      <c r="F27" s="6"/>
      <c r="G27" s="6"/>
      <c r="H27" s="17"/>
      <c r="I27" s="18"/>
      <c r="J27" s="18"/>
      <c r="K27" s="18"/>
      <c r="L27" s="18"/>
      <c r="M27" s="18"/>
      <c r="N27" s="19"/>
      <c r="O27" s="18"/>
      <c r="P27" s="18"/>
      <c r="Q27" s="18"/>
      <c r="R27" s="18"/>
      <c r="S27" s="18"/>
      <c r="T27" s="18"/>
      <c r="U27" s="18"/>
      <c r="V27" s="18"/>
      <c r="W27" s="18"/>
      <c r="X27" s="18"/>
      <c r="Y27" s="18"/>
      <c r="Z27" s="18"/>
      <c r="AA27" s="18"/>
      <c r="AB27" s="18"/>
      <c r="AC27" s="18"/>
      <c r="AD27" s="18"/>
    </row>
    <row r="28" spans="1:30" x14ac:dyDescent="0.25">
      <c r="A28" s="16" t="s">
        <v>44</v>
      </c>
      <c r="D28" s="5"/>
      <c r="E28" s="5"/>
      <c r="F28" s="6"/>
      <c r="G28" s="6"/>
      <c r="H28" s="17"/>
      <c r="I28" s="18"/>
      <c r="J28" s="18"/>
      <c r="K28" s="18"/>
      <c r="L28" s="18"/>
      <c r="M28" s="18"/>
      <c r="N28" s="19"/>
      <c r="O28" s="18"/>
      <c r="P28" s="18"/>
      <c r="Q28" s="18"/>
      <c r="R28" s="18"/>
      <c r="S28" s="18"/>
      <c r="T28" s="18"/>
      <c r="U28" s="18"/>
      <c r="V28" s="18"/>
      <c r="W28" s="18"/>
      <c r="X28" s="18"/>
      <c r="Y28" s="18"/>
      <c r="Z28" s="18"/>
      <c r="AA28" s="18"/>
      <c r="AB28" s="18"/>
      <c r="AC28" s="18"/>
      <c r="AD28" s="18"/>
    </row>
    <row r="29" spans="1:30" x14ac:dyDescent="0.25">
      <c r="A29" t="s">
        <v>45</v>
      </c>
      <c r="C29" t="s">
        <v>46</v>
      </c>
      <c r="D29" s="5"/>
      <c r="E29" s="5" t="s">
        <v>17</v>
      </c>
      <c r="F29" s="6"/>
      <c r="G29" s="6"/>
      <c r="H29" s="17"/>
      <c r="I29" s="26"/>
      <c r="J29" s="26"/>
      <c r="K29" s="26"/>
      <c r="L29" s="26"/>
      <c r="M29" s="26"/>
      <c r="N29" s="19"/>
      <c r="O29" s="18"/>
      <c r="P29" s="18"/>
      <c r="Q29" s="18"/>
      <c r="R29" s="18"/>
      <c r="S29" s="18"/>
      <c r="T29" s="18"/>
      <c r="U29" s="18"/>
      <c r="V29" s="18"/>
      <c r="W29" s="18"/>
      <c r="X29" s="18"/>
      <c r="Y29" s="18"/>
      <c r="Z29" s="18"/>
      <c r="AA29" s="18"/>
      <c r="AB29" s="18"/>
      <c r="AC29" s="18"/>
      <c r="AD29" s="18"/>
    </row>
    <row r="30" spans="1:30" x14ac:dyDescent="0.25">
      <c r="A30" t="s">
        <v>47</v>
      </c>
      <c r="D30" s="5"/>
      <c r="E30" s="5" t="s">
        <v>17</v>
      </c>
      <c r="F30" s="6"/>
      <c r="G30" s="6"/>
      <c r="H30" s="17"/>
      <c r="I30" s="18"/>
      <c r="J30" s="18"/>
      <c r="K30" s="18"/>
      <c r="L30" s="18"/>
      <c r="M30" s="18"/>
      <c r="N30" s="19"/>
      <c r="O30" s="18"/>
      <c r="P30" s="18"/>
      <c r="Q30" s="18"/>
      <c r="R30" s="18"/>
      <c r="S30" s="18"/>
      <c r="T30" s="18"/>
      <c r="U30" s="18"/>
      <c r="V30" s="18"/>
      <c r="W30" s="18"/>
      <c r="X30" s="18"/>
      <c r="Y30" s="18"/>
      <c r="Z30" s="18"/>
      <c r="AA30" s="18"/>
      <c r="AB30" s="18"/>
      <c r="AC30" s="18"/>
      <c r="AD30" s="18"/>
    </row>
    <row r="31" spans="1:30" x14ac:dyDescent="0.25">
      <c r="A31" t="s">
        <v>48</v>
      </c>
      <c r="C31" t="s">
        <v>49</v>
      </c>
      <c r="D31" s="5"/>
      <c r="E31" s="5" t="s">
        <v>17</v>
      </c>
      <c r="F31" s="6"/>
      <c r="G31" s="6"/>
      <c r="H31" s="17"/>
      <c r="I31" s="18"/>
      <c r="J31" s="18"/>
      <c r="K31" s="18"/>
      <c r="L31" s="18"/>
      <c r="M31" s="18"/>
      <c r="N31" s="19"/>
      <c r="O31" s="18"/>
      <c r="P31" s="18"/>
      <c r="Q31" s="18"/>
      <c r="R31" s="18"/>
      <c r="S31" s="18"/>
      <c r="T31" s="18"/>
      <c r="U31" s="18"/>
      <c r="V31" s="18"/>
      <c r="W31" s="18"/>
      <c r="X31" s="18"/>
      <c r="Y31" s="18"/>
      <c r="Z31" s="18"/>
      <c r="AA31" s="18"/>
      <c r="AB31" s="18"/>
      <c r="AC31" s="18"/>
      <c r="AD31" s="18"/>
    </row>
    <row r="32" spans="1:30" x14ac:dyDescent="0.25">
      <c r="A32" t="s">
        <v>50</v>
      </c>
      <c r="D32" s="5"/>
      <c r="E32" s="5" t="s">
        <v>17</v>
      </c>
      <c r="F32" s="6"/>
      <c r="G32" s="6"/>
      <c r="H32" s="17"/>
      <c r="I32" s="18"/>
      <c r="J32" s="18"/>
      <c r="K32" s="18"/>
      <c r="L32" s="18"/>
      <c r="M32" s="18"/>
      <c r="N32" s="19"/>
      <c r="O32" s="18"/>
      <c r="P32" s="18"/>
      <c r="Q32" s="18"/>
      <c r="R32" s="18"/>
      <c r="S32" s="18"/>
      <c r="T32" s="18"/>
      <c r="U32" s="18"/>
      <c r="V32" s="18"/>
      <c r="W32" s="18"/>
      <c r="X32" s="18"/>
      <c r="Y32" s="18"/>
      <c r="Z32" s="18"/>
      <c r="AA32" s="18"/>
      <c r="AB32" s="18"/>
      <c r="AC32" s="18"/>
      <c r="AD32" s="18"/>
    </row>
    <row r="33" spans="1:25" x14ac:dyDescent="0.25">
      <c r="A33" t="s">
        <v>51</v>
      </c>
      <c r="C33" t="s">
        <v>52</v>
      </c>
      <c r="D33" s="5"/>
      <c r="E33" s="5" t="s">
        <v>17</v>
      </c>
      <c r="F33" s="6"/>
      <c r="G33" s="6"/>
      <c r="H33" s="11"/>
    </row>
    <row r="34" spans="1:25" x14ac:dyDescent="0.25">
      <c r="A34" t="s">
        <v>53</v>
      </c>
      <c r="C34" t="s">
        <v>54</v>
      </c>
      <c r="D34" s="5"/>
      <c r="E34" s="5" t="s">
        <v>17</v>
      </c>
      <c r="F34" s="6"/>
      <c r="G34" s="6"/>
      <c r="H34" s="11"/>
    </row>
    <row r="35" spans="1:25" x14ac:dyDescent="0.25">
      <c r="A35" t="s">
        <v>55</v>
      </c>
      <c r="C35" t="s">
        <v>56</v>
      </c>
      <c r="D35" s="5"/>
      <c r="E35" s="5" t="s">
        <v>17</v>
      </c>
      <c r="F35" s="6"/>
      <c r="G35" s="6"/>
      <c r="H35" s="11"/>
    </row>
    <row r="38" spans="1:25" ht="15.75" thickBot="1" x14ac:dyDescent="0.3"/>
    <row r="39" spans="1:25" x14ac:dyDescent="0.25">
      <c r="P39" s="27" t="s">
        <v>57</v>
      </c>
      <c r="Q39" s="28"/>
    </row>
    <row r="40" spans="1:25" ht="72.75" customHeight="1" x14ac:dyDescent="0.25">
      <c r="H40" s="28"/>
      <c r="I40" s="28"/>
      <c r="J40" s="29"/>
      <c r="K40" s="29"/>
      <c r="L40" s="29"/>
      <c r="M40" s="29"/>
      <c r="N40" s="29"/>
      <c r="O40" s="30"/>
      <c r="P40" s="30"/>
      <c r="Q40" s="30"/>
      <c r="R40" s="31"/>
    </row>
    <row r="41" spans="1:25" ht="30" customHeight="1" x14ac:dyDescent="0.25">
      <c r="H41" s="32"/>
      <c r="I41" s="32"/>
      <c r="J41" s="33"/>
      <c r="K41" s="33"/>
      <c r="L41" s="33"/>
      <c r="M41" s="33"/>
      <c r="N41" s="33"/>
      <c r="O41" s="30"/>
      <c r="P41" s="4"/>
      <c r="Q41" s="4"/>
      <c r="R41" s="4"/>
    </row>
    <row r="42" spans="1:25" ht="43.5" customHeight="1" x14ac:dyDescent="0.25">
      <c r="H42" s="32"/>
      <c r="I42" s="32"/>
      <c r="J42" s="33"/>
      <c r="K42" s="33"/>
      <c r="L42" s="33"/>
      <c r="M42" s="33"/>
      <c r="N42" s="33"/>
      <c r="O42" s="30"/>
      <c r="P42" s="4"/>
      <c r="Q42" s="4"/>
      <c r="R42" s="4"/>
    </row>
    <row r="43" spans="1:25" ht="30" customHeight="1" x14ac:dyDescent="0.25">
      <c r="H43" s="32"/>
      <c r="I43" s="32"/>
      <c r="J43" s="33"/>
      <c r="K43" s="33"/>
      <c r="L43" s="33"/>
      <c r="M43" s="33"/>
      <c r="N43" s="33"/>
      <c r="O43" s="30"/>
      <c r="P43" s="4"/>
      <c r="Q43" s="4"/>
      <c r="R43" s="4"/>
    </row>
    <row r="44" spans="1:25" ht="30" customHeight="1" x14ac:dyDescent="0.25">
      <c r="H44" s="32"/>
      <c r="I44" s="32"/>
      <c r="J44" s="33"/>
      <c r="K44" s="33"/>
      <c r="L44" s="33"/>
      <c r="M44" s="33"/>
      <c r="N44" s="33"/>
      <c r="O44" s="30"/>
      <c r="P44" s="4"/>
      <c r="Q44" s="4"/>
      <c r="R44" s="4"/>
    </row>
    <row r="45" spans="1:25" ht="30" customHeight="1" x14ac:dyDescent="0.25">
      <c r="H45" s="32"/>
      <c r="I45" s="32"/>
      <c r="J45" s="33"/>
      <c r="K45" s="33"/>
      <c r="L45" s="33"/>
      <c r="M45" s="33"/>
      <c r="N45" s="33"/>
      <c r="O45" s="30"/>
      <c r="P45" s="4"/>
      <c r="Q45" s="4"/>
      <c r="R45" s="4"/>
    </row>
    <row r="46" spans="1:25" ht="30" customHeight="1" x14ac:dyDescent="0.25">
      <c r="H46" s="32"/>
      <c r="I46" s="32"/>
      <c r="J46" s="33"/>
      <c r="K46" s="33"/>
      <c r="L46" s="33"/>
      <c r="M46" s="33"/>
      <c r="N46" s="33"/>
      <c r="O46" s="30"/>
      <c r="P46" s="33"/>
      <c r="Q46" s="33"/>
      <c r="R46" s="34"/>
    </row>
    <row r="47" spans="1:25" x14ac:dyDescent="0.25">
      <c r="O47" s="30"/>
      <c r="P47" s="4"/>
      <c r="Q47" s="4"/>
      <c r="R47" s="35"/>
      <c r="S47" s="36"/>
      <c r="T47" s="4"/>
      <c r="U47" s="4"/>
      <c r="V47" s="4"/>
      <c r="W47" s="4"/>
      <c r="X47" s="4"/>
      <c r="Y47" s="4"/>
    </row>
    <row r="48" spans="1:25" x14ac:dyDescent="0.25">
      <c r="R48" s="37"/>
      <c r="S48" s="36"/>
      <c r="T48" s="4"/>
      <c r="U48" s="4"/>
      <c r="V48" s="4"/>
      <c r="W48" s="4"/>
      <c r="X48" s="4"/>
      <c r="Y48" s="4"/>
    </row>
    <row r="49" spans="8:25" x14ac:dyDescent="0.25">
      <c r="R49" s="4"/>
      <c r="S49" s="4"/>
      <c r="T49" s="4"/>
      <c r="U49" s="4"/>
      <c r="V49" s="4"/>
      <c r="W49" s="4"/>
      <c r="X49" s="4"/>
      <c r="Y49" s="4"/>
    </row>
    <row r="50" spans="8:25" x14ac:dyDescent="0.25">
      <c r="R50" s="38"/>
    </row>
    <row r="51" spans="8:25" x14ac:dyDescent="0.25">
      <c r="R51" s="4"/>
    </row>
    <row r="52" spans="8:25" ht="30" customHeight="1" x14ac:dyDescent="0.25">
      <c r="H52" s="32"/>
      <c r="I52" s="32"/>
      <c r="J52" s="32"/>
      <c r="K52" s="32"/>
      <c r="L52" s="32"/>
      <c r="M52" s="32"/>
      <c r="N52" s="81"/>
      <c r="O52" s="82"/>
      <c r="P52" s="82"/>
      <c r="Q52" s="6"/>
      <c r="R52" s="4"/>
    </row>
    <row r="53" spans="8:25" ht="30" customHeight="1" x14ac:dyDescent="0.25">
      <c r="H53" s="32"/>
      <c r="I53" s="32"/>
      <c r="J53" s="32"/>
      <c r="K53" s="32"/>
      <c r="L53" s="32"/>
      <c r="M53" s="32"/>
      <c r="N53" s="81"/>
      <c r="O53" s="82"/>
      <c r="P53" s="82"/>
      <c r="Q53" s="6"/>
      <c r="R53" s="4"/>
    </row>
    <row r="54" spans="8:25" x14ac:dyDescent="0.25">
      <c r="N54" s="2"/>
    </row>
    <row r="55" spans="8:25" x14ac:dyDescent="0.25">
      <c r="N55" s="2"/>
      <c r="S55" s="39"/>
    </row>
    <row r="65" spans="1:8" x14ac:dyDescent="0.25">
      <c r="A65" s="16" t="s">
        <v>58</v>
      </c>
    </row>
    <row r="76" spans="1:8" x14ac:dyDescent="0.25">
      <c r="D76" s="5"/>
      <c r="E76" s="5"/>
      <c r="F76" s="6"/>
      <c r="G76" s="6"/>
      <c r="H76" s="11"/>
    </row>
    <row r="77" spans="1:8" x14ac:dyDescent="0.25">
      <c r="A77" s="16" t="s">
        <v>59</v>
      </c>
      <c r="D77" s="5"/>
      <c r="E77" s="5"/>
      <c r="F77" s="6"/>
      <c r="G77" s="6"/>
      <c r="H77" s="11"/>
    </row>
    <row r="78" spans="1:8" x14ac:dyDescent="0.25">
      <c r="A78" t="s">
        <v>60</v>
      </c>
      <c r="D78" s="5"/>
      <c r="E78" s="5"/>
      <c r="F78" s="6"/>
      <c r="G78" s="6"/>
      <c r="H78" s="11"/>
    </row>
    <row r="79" spans="1:8" x14ac:dyDescent="0.25">
      <c r="A79" t="s">
        <v>61</v>
      </c>
      <c r="D79" s="5"/>
      <c r="E79" s="5"/>
      <c r="F79" s="6"/>
      <c r="G79" s="6"/>
      <c r="H79" s="11"/>
    </row>
    <row r="80" spans="1:8" x14ac:dyDescent="0.25">
      <c r="A80" t="s">
        <v>62</v>
      </c>
      <c r="D80" s="5"/>
      <c r="E80" s="5"/>
      <c r="F80" s="6"/>
      <c r="G80" s="6"/>
      <c r="H80" s="11"/>
    </row>
    <row r="81" spans="1:1" x14ac:dyDescent="0.25">
      <c r="A81" s="2" t="s">
        <v>63</v>
      </c>
    </row>
    <row r="82" spans="1:1" x14ac:dyDescent="0.25">
      <c r="A82" t="s">
        <v>64</v>
      </c>
    </row>
    <row r="84" spans="1:1" x14ac:dyDescent="0.25">
      <c r="A84" s="16" t="s">
        <v>65</v>
      </c>
    </row>
    <row r="85" spans="1:1" x14ac:dyDescent="0.25">
      <c r="A85" s="40" t="s">
        <v>66</v>
      </c>
    </row>
    <row r="86" spans="1:1" x14ac:dyDescent="0.25">
      <c r="A86" t="s">
        <v>67</v>
      </c>
    </row>
    <row r="87" spans="1:1" x14ac:dyDescent="0.25">
      <c r="A87" t="s">
        <v>68</v>
      </c>
    </row>
    <row r="88" spans="1:1" x14ac:dyDescent="0.25">
      <c r="A88" t="s">
        <v>69</v>
      </c>
    </row>
    <row r="89" spans="1:1" x14ac:dyDescent="0.25">
      <c r="A89" t="s">
        <v>70</v>
      </c>
    </row>
    <row r="90" spans="1:1" x14ac:dyDescent="0.25">
      <c r="A90" t="s">
        <v>71</v>
      </c>
    </row>
    <row r="92" spans="1:1" x14ac:dyDescent="0.25">
      <c r="A92" s="41" t="s">
        <v>66</v>
      </c>
    </row>
    <row r="93" spans="1:1" x14ac:dyDescent="0.25">
      <c r="A93" t="s">
        <v>67</v>
      </c>
    </row>
    <row r="94" spans="1:1" x14ac:dyDescent="0.25">
      <c r="A94" t="s">
        <v>68</v>
      </c>
    </row>
    <row r="95" spans="1:1" x14ac:dyDescent="0.25">
      <c r="A95" t="s">
        <v>69</v>
      </c>
    </row>
    <row r="96" spans="1:1" x14ac:dyDescent="0.25">
      <c r="A96" t="s">
        <v>70</v>
      </c>
    </row>
    <row r="97" spans="1:1" x14ac:dyDescent="0.25">
      <c r="A97" t="s">
        <v>72</v>
      </c>
    </row>
  </sheetData>
  <mergeCells count="2">
    <mergeCell ref="N52:P52"/>
    <mergeCell ref="N53:P53"/>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9805AF-4A64-4789-AC55-D0FA263949B1}">
  <dimension ref="A1:F43"/>
  <sheetViews>
    <sheetView topLeftCell="A15" workbookViewId="0">
      <selection activeCell="A32" sqref="A32:C43"/>
    </sheetView>
  </sheetViews>
  <sheetFormatPr defaultRowHeight="15" x14ac:dyDescent="0.25"/>
  <cols>
    <col min="1" max="1" width="58.7109375" customWidth="1"/>
    <col min="2" max="2" width="11" customWidth="1"/>
    <col min="3" max="4" width="12.85546875" customWidth="1"/>
    <col min="5" max="5" width="13.5703125" customWidth="1"/>
    <col min="6" max="6" width="11.7109375" customWidth="1"/>
  </cols>
  <sheetData>
    <row r="1" spans="1:6" x14ac:dyDescent="0.25">
      <c r="A1" s="2" t="s">
        <v>0</v>
      </c>
      <c r="B1" s="78">
        <v>3.5</v>
      </c>
    </row>
    <row r="2" spans="1:6" x14ac:dyDescent="0.25">
      <c r="A2" s="2" t="s">
        <v>3</v>
      </c>
      <c r="B2" s="78">
        <v>7</v>
      </c>
    </row>
    <row r="4" spans="1:6" ht="75" x14ac:dyDescent="0.25">
      <c r="A4" s="11" t="s">
        <v>20</v>
      </c>
      <c r="B4" s="11" t="s">
        <v>21</v>
      </c>
      <c r="C4" s="11" t="s">
        <v>22</v>
      </c>
      <c r="D4" s="11" t="s">
        <v>89</v>
      </c>
      <c r="E4" s="11" t="s">
        <v>84</v>
      </c>
      <c r="F4" s="11" t="s">
        <v>92</v>
      </c>
    </row>
    <row r="5" spans="1:6" x14ac:dyDescent="0.25">
      <c r="A5" t="s">
        <v>87</v>
      </c>
      <c r="B5" s="11" t="s">
        <v>30</v>
      </c>
      <c r="C5" s="11" t="s">
        <v>91</v>
      </c>
      <c r="D5" s="11">
        <v>0</v>
      </c>
      <c r="E5" s="11"/>
    </row>
    <row r="6" spans="1:6" x14ac:dyDescent="0.25">
      <c r="A6" t="s">
        <v>88</v>
      </c>
      <c r="B6" s="11" t="s">
        <v>30</v>
      </c>
      <c r="C6" s="11" t="s">
        <v>90</v>
      </c>
      <c r="D6" s="11">
        <v>0</v>
      </c>
      <c r="E6" s="11"/>
    </row>
    <row r="7" spans="1:6" x14ac:dyDescent="0.25">
      <c r="A7" t="s">
        <v>73</v>
      </c>
      <c r="B7" t="s">
        <v>83</v>
      </c>
      <c r="C7" t="s">
        <v>31</v>
      </c>
      <c r="D7">
        <v>2272</v>
      </c>
      <c r="E7">
        <f>IF(B7="S",$B$1,$B$2)</f>
        <v>3.5</v>
      </c>
      <c r="F7" s="43">
        <f>E7*1000000/D7</f>
        <v>1540.4929577464789</v>
      </c>
    </row>
    <row r="8" spans="1:6" x14ac:dyDescent="0.25">
      <c r="A8" t="s">
        <v>74</v>
      </c>
      <c r="B8" t="s">
        <v>30</v>
      </c>
      <c r="C8" t="s">
        <v>31</v>
      </c>
      <c r="D8">
        <v>9474</v>
      </c>
      <c r="E8">
        <f t="shared" ref="E8:E15" si="0">IF(B8="S",$B$1,$B$2)</f>
        <v>7</v>
      </c>
      <c r="F8" s="43">
        <f t="shared" ref="F8:F15" si="1">E8*1000000/D8</f>
        <v>738.86426008021954</v>
      </c>
    </row>
    <row r="9" spans="1:6" x14ac:dyDescent="0.25">
      <c r="A9" t="s">
        <v>75</v>
      </c>
      <c r="B9" t="s">
        <v>83</v>
      </c>
      <c r="C9" t="s">
        <v>82</v>
      </c>
      <c r="D9">
        <v>1313</v>
      </c>
      <c r="E9">
        <f t="shared" si="0"/>
        <v>3.5</v>
      </c>
      <c r="F9" s="43">
        <f t="shared" si="1"/>
        <v>2665.6511805026657</v>
      </c>
    </row>
    <row r="10" spans="1:6" x14ac:dyDescent="0.25">
      <c r="A10" t="s">
        <v>76</v>
      </c>
      <c r="B10" t="s">
        <v>83</v>
      </c>
      <c r="C10" t="s">
        <v>82</v>
      </c>
      <c r="D10">
        <v>1313</v>
      </c>
      <c r="E10">
        <f t="shared" si="0"/>
        <v>3.5</v>
      </c>
      <c r="F10" s="43">
        <f t="shared" si="1"/>
        <v>2665.6511805026657</v>
      </c>
    </row>
    <row r="11" spans="1:6" x14ac:dyDescent="0.25">
      <c r="A11" t="s">
        <v>77</v>
      </c>
      <c r="B11" t="s">
        <v>83</v>
      </c>
      <c r="C11" t="s">
        <v>82</v>
      </c>
      <c r="D11">
        <v>1313</v>
      </c>
      <c r="E11">
        <f t="shared" si="0"/>
        <v>3.5</v>
      </c>
      <c r="F11" s="43">
        <f t="shared" si="1"/>
        <v>2665.6511805026657</v>
      </c>
    </row>
    <row r="12" spans="1:6" x14ac:dyDescent="0.25">
      <c r="A12" t="s">
        <v>78</v>
      </c>
      <c r="B12" t="s">
        <v>83</v>
      </c>
      <c r="C12" t="s">
        <v>82</v>
      </c>
      <c r="D12">
        <v>1392</v>
      </c>
      <c r="E12">
        <f t="shared" si="0"/>
        <v>3.5</v>
      </c>
      <c r="F12" s="43">
        <f t="shared" si="1"/>
        <v>2514.367816091954</v>
      </c>
    </row>
    <row r="13" spans="1:6" x14ac:dyDescent="0.25">
      <c r="A13" t="s">
        <v>79</v>
      </c>
      <c r="B13" t="s">
        <v>83</v>
      </c>
      <c r="C13" t="s">
        <v>82</v>
      </c>
      <c r="D13">
        <v>1392</v>
      </c>
      <c r="E13">
        <f t="shared" si="0"/>
        <v>3.5</v>
      </c>
      <c r="F13" s="43">
        <f t="shared" si="1"/>
        <v>2514.367816091954</v>
      </c>
    </row>
    <row r="14" spans="1:6" x14ac:dyDescent="0.25">
      <c r="A14" t="s">
        <v>80</v>
      </c>
      <c r="B14" t="s">
        <v>30</v>
      </c>
      <c r="C14" t="s">
        <v>82</v>
      </c>
      <c r="D14">
        <v>5710</v>
      </c>
      <c r="E14">
        <f t="shared" si="0"/>
        <v>7</v>
      </c>
      <c r="F14" s="43">
        <f t="shared" si="1"/>
        <v>1225.9194395796849</v>
      </c>
    </row>
    <row r="15" spans="1:6" x14ac:dyDescent="0.25">
      <c r="A15" t="s">
        <v>81</v>
      </c>
      <c r="B15" t="s">
        <v>30</v>
      </c>
      <c r="C15" t="s">
        <v>82</v>
      </c>
      <c r="D15">
        <v>5710</v>
      </c>
      <c r="E15">
        <f t="shared" si="0"/>
        <v>7</v>
      </c>
      <c r="F15" s="43">
        <f t="shared" si="1"/>
        <v>1225.9194395796849</v>
      </c>
    </row>
    <row r="16" spans="1:6" x14ac:dyDescent="0.25">
      <c r="F16" s="43"/>
    </row>
    <row r="17" spans="1:3" ht="16.5" thickBot="1" x14ac:dyDescent="0.3">
      <c r="A17" s="42" t="s">
        <v>97</v>
      </c>
      <c r="B17" s="1" t="s">
        <v>95</v>
      </c>
      <c r="C17" s="1" t="s">
        <v>95</v>
      </c>
    </row>
    <row r="18" spans="1:3" ht="16.5" thickBot="1" x14ac:dyDescent="0.3">
      <c r="A18" s="44" t="s">
        <v>94</v>
      </c>
      <c r="B18" s="45" t="s">
        <v>85</v>
      </c>
      <c r="C18" s="46" t="s">
        <v>86</v>
      </c>
    </row>
    <row r="19" spans="1:3" ht="15.75" x14ac:dyDescent="0.25">
      <c r="A19" s="44" t="s">
        <v>87</v>
      </c>
      <c r="B19" s="47"/>
      <c r="C19" s="48"/>
    </row>
    <row r="20" spans="1:3" ht="15.75" x14ac:dyDescent="0.25">
      <c r="A20" s="49" t="s">
        <v>88</v>
      </c>
      <c r="B20" s="50"/>
      <c r="C20" s="51"/>
    </row>
    <row r="21" spans="1:3" ht="15.75" x14ac:dyDescent="0.25">
      <c r="A21" s="49" t="s">
        <v>73</v>
      </c>
      <c r="B21" s="50">
        <v>0</v>
      </c>
      <c r="C21" s="51">
        <f>D7</f>
        <v>2272</v>
      </c>
    </row>
    <row r="22" spans="1:3" ht="15.75" x14ac:dyDescent="0.25">
      <c r="A22" s="49" t="s">
        <v>74</v>
      </c>
      <c r="B22" s="50">
        <v>0</v>
      </c>
      <c r="C22" s="51">
        <f t="shared" ref="C22:C29" si="2">D8</f>
        <v>9474</v>
      </c>
    </row>
    <row r="23" spans="1:3" ht="15.75" x14ac:dyDescent="0.25">
      <c r="A23" s="49" t="s">
        <v>75</v>
      </c>
      <c r="B23" s="50">
        <v>0</v>
      </c>
      <c r="C23" s="51">
        <f t="shared" si="2"/>
        <v>1313</v>
      </c>
    </row>
    <row r="24" spans="1:3" ht="15.75" x14ac:dyDescent="0.25">
      <c r="A24" s="49" t="s">
        <v>76</v>
      </c>
      <c r="B24" s="50">
        <v>0</v>
      </c>
      <c r="C24" s="51">
        <f t="shared" si="2"/>
        <v>1313</v>
      </c>
    </row>
    <row r="25" spans="1:3" ht="15.75" x14ac:dyDescent="0.25">
      <c r="A25" s="49" t="s">
        <v>77</v>
      </c>
      <c r="B25" s="50">
        <v>0</v>
      </c>
      <c r="C25" s="51">
        <f t="shared" si="2"/>
        <v>1313</v>
      </c>
    </row>
    <row r="26" spans="1:3" ht="15.75" x14ac:dyDescent="0.25">
      <c r="A26" s="49" t="s">
        <v>78</v>
      </c>
      <c r="B26" s="50">
        <v>0</v>
      </c>
      <c r="C26" s="51">
        <f t="shared" si="2"/>
        <v>1392</v>
      </c>
    </row>
    <row r="27" spans="1:3" ht="15.75" x14ac:dyDescent="0.25">
      <c r="A27" s="49" t="s">
        <v>79</v>
      </c>
      <c r="B27" s="50">
        <v>0</v>
      </c>
      <c r="C27" s="51">
        <f t="shared" si="2"/>
        <v>1392</v>
      </c>
    </row>
    <row r="28" spans="1:3" ht="15.75" x14ac:dyDescent="0.25">
      <c r="A28" s="49" t="s">
        <v>80</v>
      </c>
      <c r="B28" s="50">
        <v>0</v>
      </c>
      <c r="C28" s="51">
        <f t="shared" si="2"/>
        <v>5710</v>
      </c>
    </row>
    <row r="29" spans="1:3" ht="16.5" thickBot="1" x14ac:dyDescent="0.3">
      <c r="A29" s="52" t="s">
        <v>81</v>
      </c>
      <c r="B29" s="53">
        <v>0</v>
      </c>
      <c r="C29" s="54">
        <f t="shared" si="2"/>
        <v>5710</v>
      </c>
    </row>
    <row r="31" spans="1:3" ht="15.75" thickBot="1" x14ac:dyDescent="0.3">
      <c r="A31" t="s">
        <v>96</v>
      </c>
    </row>
    <row r="32" spans="1:3" ht="16.5" thickBot="1" x14ac:dyDescent="0.3">
      <c r="A32" s="44" t="s">
        <v>93</v>
      </c>
      <c r="B32" s="45" t="s">
        <v>85</v>
      </c>
      <c r="C32" s="46" t="s">
        <v>86</v>
      </c>
    </row>
    <row r="33" spans="1:3" ht="15.75" x14ac:dyDescent="0.25">
      <c r="A33" s="44" t="s">
        <v>87</v>
      </c>
      <c r="B33" s="47"/>
      <c r="C33" s="48"/>
    </row>
    <row r="34" spans="1:3" ht="15.75" x14ac:dyDescent="0.25">
      <c r="A34" s="49" t="s">
        <v>88</v>
      </c>
      <c r="B34" s="50"/>
      <c r="C34" s="51"/>
    </row>
    <row r="35" spans="1:3" ht="15.75" x14ac:dyDescent="0.25">
      <c r="A35" s="49" t="s">
        <v>73</v>
      </c>
      <c r="B35" s="50">
        <v>0</v>
      </c>
      <c r="C35" s="51">
        <v>1540.4929577464789</v>
      </c>
    </row>
    <row r="36" spans="1:3" ht="15.75" x14ac:dyDescent="0.25">
      <c r="A36" s="49" t="s">
        <v>74</v>
      </c>
      <c r="B36" s="50">
        <v>0</v>
      </c>
      <c r="C36" s="51">
        <v>738.86426008021954</v>
      </c>
    </row>
    <row r="37" spans="1:3" ht="15.75" x14ac:dyDescent="0.25">
      <c r="A37" s="49" t="s">
        <v>75</v>
      </c>
      <c r="B37" s="50">
        <v>0</v>
      </c>
      <c r="C37" s="51">
        <v>2665.6511805026657</v>
      </c>
    </row>
    <row r="38" spans="1:3" ht="15.75" x14ac:dyDescent="0.25">
      <c r="A38" s="49" t="s">
        <v>76</v>
      </c>
      <c r="B38" s="50">
        <v>0</v>
      </c>
      <c r="C38" s="51">
        <v>2665.6511805026657</v>
      </c>
    </row>
    <row r="39" spans="1:3" ht="15.75" x14ac:dyDescent="0.25">
      <c r="A39" s="49" t="s">
        <v>77</v>
      </c>
      <c r="B39" s="50">
        <v>0</v>
      </c>
      <c r="C39" s="51">
        <v>2665.6511805026657</v>
      </c>
    </row>
    <row r="40" spans="1:3" ht="15.75" x14ac:dyDescent="0.25">
      <c r="A40" s="49" t="s">
        <v>78</v>
      </c>
      <c r="B40" s="50">
        <v>0</v>
      </c>
      <c r="C40" s="51">
        <v>2514.367816091954</v>
      </c>
    </row>
    <row r="41" spans="1:3" ht="15.75" x14ac:dyDescent="0.25">
      <c r="A41" s="49" t="s">
        <v>79</v>
      </c>
      <c r="B41" s="50">
        <v>0</v>
      </c>
      <c r="C41" s="51">
        <v>2514.367816091954</v>
      </c>
    </row>
    <row r="42" spans="1:3" ht="15.75" x14ac:dyDescent="0.25">
      <c r="A42" s="49" t="s">
        <v>80</v>
      </c>
      <c r="B42" s="50">
        <v>0</v>
      </c>
      <c r="C42" s="51">
        <v>1225.9194395796849</v>
      </c>
    </row>
    <row r="43" spans="1:3" ht="16.5" thickBot="1" x14ac:dyDescent="0.3">
      <c r="A43" s="52" t="s">
        <v>81</v>
      </c>
      <c r="B43" s="53">
        <v>0</v>
      </c>
      <c r="C43" s="54">
        <v>1225.9194395796849</v>
      </c>
    </row>
  </sheetData>
  <phoneticPr fontId="10"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Logic Plan for Coding</vt:lpstr>
      <vt:lpstr>Logic Plan Orig Worksheet</vt:lpstr>
      <vt:lpstr>Disposal Expansion Cost Input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Laura Capper</dc:creator>
  <cp:lastModifiedBy>Huidae Cho</cp:lastModifiedBy>
  <dcterms:created xsi:type="dcterms:W3CDTF">2023-11-09T18:16:11Z</dcterms:created>
  <dcterms:modified xsi:type="dcterms:W3CDTF">2023-11-22T18:38:20Z</dcterms:modified>
</cp:coreProperties>
</file>