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Data Project Samid\KIU_Project(MASTER)\"/>
    </mc:Choice>
  </mc:AlternateContent>
  <bookViews>
    <workbookView xWindow="0" yWindow="0" windowWidth="24000" windowHeight="10215" tabRatio="899" firstSheet="2" activeTab="8"/>
  </bookViews>
  <sheets>
    <sheet name="Jurnal" sheetId="25" r:id="rId1"/>
    <sheet name="Harga Pokok Pembelian" sheetId="30" r:id="rId2"/>
    <sheet name="Neraca" sheetId="26" r:id="rId3"/>
    <sheet name="Laba_Rugi" sheetId="23" r:id="rId4"/>
    <sheet name="HPP" sheetId="24" r:id="rId5"/>
    <sheet name="Buku Besar" sheetId="27" r:id="rId6"/>
    <sheet name="Tutup Buku" sheetId="28" r:id="rId7"/>
    <sheet name="Kalkulasi Produksi" sheetId="29" r:id="rId8"/>
    <sheet name="Data Akun" sheetId="21" r:id="rId9"/>
    <sheet name="Data Pelanggan" sheetId="1" r:id="rId10"/>
    <sheet name="Data Pegawai" sheetId="11" r:id="rId11"/>
    <sheet name="Data Barang" sheetId="12" r:id="rId12"/>
    <sheet name="Data Periode" sheetId="14" r:id="rId13"/>
    <sheet name="Data Produk" sheetId="15" r:id="rId14"/>
    <sheet name="Data Produksi" sheetId="16" r:id="rId15"/>
    <sheet name="Data Pembelian" sheetId="17" r:id="rId16"/>
    <sheet name="Data Penjualan" sheetId="18" r:id="rId17"/>
    <sheet name="Data Supplier" sheetId="19" r:id="rId18"/>
  </sheets>
  <definedNames>
    <definedName name="_xlnm._FilterDatabase" localSheetId="5" hidden="1">'Buku Besar'!#REF!</definedName>
    <definedName name="_xlnm._FilterDatabase" localSheetId="0" hidden="1">Jurnal!$J$6:$S$7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26" l="1"/>
  <c r="N6" i="12" l="1"/>
  <c r="N7" i="12"/>
  <c r="N8" i="12"/>
  <c r="N9" i="12"/>
  <c r="N10" i="12"/>
  <c r="N5" i="12"/>
  <c r="P6" i="12"/>
  <c r="Q6" i="12" s="1"/>
  <c r="P7" i="12"/>
  <c r="P8" i="12"/>
  <c r="Q8" i="12" s="1"/>
  <c r="P9" i="12"/>
  <c r="Q9" i="12" s="1"/>
  <c r="P10" i="12"/>
  <c r="Q10" i="12" s="1"/>
  <c r="P5" i="12"/>
  <c r="I15" i="27"/>
  <c r="J15" i="27"/>
  <c r="J16" i="27"/>
  <c r="G12" i="12"/>
  <c r="Q5" i="12" l="1"/>
  <c r="Q7" i="12"/>
  <c r="H16" i="12"/>
  <c r="L17" i="12"/>
  <c r="L21" i="12"/>
  <c r="L25" i="12"/>
  <c r="L29" i="12"/>
  <c r="L33" i="12"/>
  <c r="L37" i="12"/>
  <c r="L16" i="12"/>
  <c r="L24" i="12"/>
  <c r="L18" i="12"/>
  <c r="L22" i="12"/>
  <c r="L26" i="12"/>
  <c r="L30" i="12"/>
  <c r="L34" i="12"/>
  <c r="L38" i="12"/>
  <c r="L20" i="12"/>
  <c r="L28" i="12"/>
  <c r="L36" i="12"/>
  <c r="L19" i="12"/>
  <c r="L23" i="12"/>
  <c r="L27" i="12"/>
  <c r="L31" i="12"/>
  <c r="L35" i="12"/>
  <c r="L39" i="12"/>
  <c r="L32" i="12"/>
  <c r="L40" i="12"/>
  <c r="E38" i="12"/>
  <c r="E30" i="12"/>
  <c r="E22" i="12"/>
  <c r="F37" i="12"/>
  <c r="F29" i="12"/>
  <c r="F21" i="12"/>
  <c r="G36" i="12"/>
  <c r="G28" i="12"/>
  <c r="G20" i="12"/>
  <c r="H35" i="12"/>
  <c r="H27" i="12"/>
  <c r="H19" i="12"/>
  <c r="I34" i="12"/>
  <c r="I26" i="12"/>
  <c r="I18" i="12"/>
  <c r="J33" i="12"/>
  <c r="N40" i="12"/>
  <c r="N36" i="12"/>
  <c r="N32" i="12"/>
  <c r="N28" i="12"/>
  <c r="N24" i="12"/>
  <c r="N20" i="12"/>
  <c r="E25" i="12"/>
  <c r="F32" i="12"/>
  <c r="G39" i="12"/>
  <c r="G31" i="12"/>
  <c r="H38" i="12"/>
  <c r="H30" i="12"/>
  <c r="I37" i="12"/>
  <c r="I21" i="12"/>
  <c r="J36" i="12"/>
  <c r="N37" i="12"/>
  <c r="N29" i="12"/>
  <c r="N21" i="12"/>
  <c r="E37" i="12"/>
  <c r="E29" i="12"/>
  <c r="E21" i="12"/>
  <c r="F36" i="12"/>
  <c r="F28" i="12"/>
  <c r="F20" i="12"/>
  <c r="G35" i="12"/>
  <c r="G27" i="12"/>
  <c r="G19" i="12"/>
  <c r="H34" i="12"/>
  <c r="H26" i="12"/>
  <c r="H18" i="12"/>
  <c r="I33" i="12"/>
  <c r="I25" i="12"/>
  <c r="J40" i="12"/>
  <c r="J29" i="12"/>
  <c r="N39" i="12"/>
  <c r="N35" i="12"/>
  <c r="N31" i="12"/>
  <c r="N27" i="12"/>
  <c r="N23" i="12"/>
  <c r="N19" i="12"/>
  <c r="E33" i="12"/>
  <c r="F40" i="12"/>
  <c r="F24" i="12"/>
  <c r="G23" i="12"/>
  <c r="H22" i="12"/>
  <c r="I29" i="12"/>
  <c r="J21" i="12"/>
  <c r="N33" i="12"/>
  <c r="N25" i="12"/>
  <c r="E34" i="12"/>
  <c r="E26" i="12"/>
  <c r="E18" i="12"/>
  <c r="F33" i="12"/>
  <c r="F25" i="12"/>
  <c r="G40" i="12"/>
  <c r="G32" i="12"/>
  <c r="G24" i="12"/>
  <c r="H39" i="12"/>
  <c r="H31" i="12"/>
  <c r="H23" i="12"/>
  <c r="I38" i="12"/>
  <c r="I30" i="12"/>
  <c r="I22" i="12"/>
  <c r="J37" i="12"/>
  <c r="J25" i="12"/>
  <c r="N38" i="12"/>
  <c r="N34" i="12"/>
  <c r="N30" i="12"/>
  <c r="N26" i="12"/>
  <c r="N22" i="12"/>
  <c r="N18" i="12"/>
  <c r="E40" i="12"/>
  <c r="E36" i="12"/>
  <c r="E32" i="12"/>
  <c r="E28" i="12"/>
  <c r="E24" i="12"/>
  <c r="E20" i="12"/>
  <c r="F39" i="12"/>
  <c r="F35" i="12"/>
  <c r="F31" i="12"/>
  <c r="F27" i="12"/>
  <c r="F23" i="12"/>
  <c r="F19" i="12"/>
  <c r="G38" i="12"/>
  <c r="G34" i="12"/>
  <c r="G30" i="12"/>
  <c r="G26" i="12"/>
  <c r="G22" i="12"/>
  <c r="G18" i="12"/>
  <c r="H37" i="12"/>
  <c r="H33" i="12"/>
  <c r="H29" i="12"/>
  <c r="H25" i="12"/>
  <c r="H21" i="12"/>
  <c r="I40" i="12"/>
  <c r="I36" i="12"/>
  <c r="I32" i="12"/>
  <c r="I28" i="12"/>
  <c r="I24" i="12"/>
  <c r="I20" i="12"/>
  <c r="J39" i="12"/>
  <c r="J35" i="12"/>
  <c r="J31" i="12"/>
  <c r="J27" i="12"/>
  <c r="J23" i="12"/>
  <c r="J19" i="12"/>
  <c r="J32" i="12"/>
  <c r="J28" i="12"/>
  <c r="J24" i="12"/>
  <c r="J20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E39" i="12"/>
  <c r="E35" i="12"/>
  <c r="E31" i="12"/>
  <c r="E27" i="12"/>
  <c r="E23" i="12"/>
  <c r="E19" i="12"/>
  <c r="F38" i="12"/>
  <c r="F34" i="12"/>
  <c r="F30" i="12"/>
  <c r="F26" i="12"/>
  <c r="F22" i="12"/>
  <c r="F18" i="12"/>
  <c r="G37" i="12"/>
  <c r="G33" i="12"/>
  <c r="G29" i="12"/>
  <c r="G25" i="12"/>
  <c r="G21" i="12"/>
  <c r="H40" i="12"/>
  <c r="H36" i="12"/>
  <c r="H32" i="12"/>
  <c r="H28" i="12"/>
  <c r="H24" i="12"/>
  <c r="H20" i="12"/>
  <c r="I39" i="12"/>
  <c r="I35" i="12"/>
  <c r="I31" i="12"/>
  <c r="I27" i="12"/>
  <c r="I23" i="12"/>
  <c r="I19" i="12"/>
  <c r="J38" i="12"/>
  <c r="J34" i="12"/>
  <c r="J30" i="12"/>
  <c r="J26" i="12"/>
  <c r="J22" i="12"/>
  <c r="J18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N17" i="12"/>
  <c r="J17" i="12"/>
  <c r="K17" i="12"/>
  <c r="M17" i="12"/>
  <c r="M16" i="12"/>
  <c r="I17" i="12"/>
  <c r="N16" i="12"/>
  <c r="F17" i="12"/>
  <c r="E17" i="12"/>
  <c r="G17" i="12"/>
  <c r="H17" i="12"/>
  <c r="J15" i="29"/>
  <c r="J29" i="29" s="1"/>
  <c r="J20" i="29"/>
  <c r="J34" i="29" s="1"/>
  <c r="J19" i="29"/>
  <c r="J33" i="29" s="1"/>
  <c r="J17" i="29"/>
  <c r="J31" i="29" s="1"/>
  <c r="J16" i="29"/>
  <c r="J30" i="29" s="1"/>
  <c r="D20" i="29"/>
  <c r="D34" i="29" s="1"/>
  <c r="D19" i="29"/>
  <c r="D33" i="29" s="1"/>
  <c r="D17" i="29"/>
  <c r="D31" i="29" s="1"/>
  <c r="D16" i="29"/>
  <c r="D30" i="29" s="1"/>
  <c r="D15" i="29"/>
  <c r="D29" i="29" s="1"/>
  <c r="L8" i="24" l="1"/>
  <c r="J20" i="23"/>
  <c r="J21" i="23"/>
  <c r="J19" i="23"/>
  <c r="J18" i="23"/>
  <c r="J17" i="23"/>
  <c r="J11" i="23"/>
  <c r="J7" i="23"/>
  <c r="J21" i="26"/>
  <c r="J20" i="26"/>
  <c r="J19" i="26"/>
  <c r="J8" i="26"/>
  <c r="O14" i="26"/>
  <c r="O13" i="26"/>
  <c r="O9" i="26"/>
  <c r="O10" i="26"/>
  <c r="O8" i="26"/>
  <c r="J10" i="26"/>
  <c r="J11" i="26"/>
  <c r="J12" i="26"/>
  <c r="J13" i="26"/>
  <c r="J15" i="26"/>
  <c r="J9" i="26"/>
  <c r="Y30" i="21"/>
  <c r="V6" i="21"/>
  <c r="V7" i="21"/>
  <c r="V8" i="21"/>
  <c r="V9" i="21"/>
  <c r="V10" i="21"/>
  <c r="V11" i="21"/>
  <c r="V12" i="21"/>
  <c r="V13" i="21"/>
  <c r="V14" i="21"/>
  <c r="V15" i="21"/>
  <c r="V16" i="21"/>
  <c r="V17" i="21"/>
  <c r="V18" i="21"/>
  <c r="V19" i="21"/>
  <c r="V20" i="21"/>
  <c r="V21" i="21"/>
  <c r="V22" i="21"/>
  <c r="V23" i="21"/>
  <c r="V24" i="21"/>
  <c r="V25" i="21"/>
  <c r="V26" i="21"/>
  <c r="V27" i="21"/>
  <c r="V28" i="21"/>
  <c r="V29" i="21"/>
  <c r="V30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26" i="21"/>
  <c r="W27" i="21"/>
  <c r="W28" i="21"/>
  <c r="W29" i="21"/>
  <c r="W30" i="21"/>
  <c r="X30" i="21"/>
  <c r="J22" i="26" l="1"/>
  <c r="I34" i="29"/>
  <c r="I33" i="29"/>
  <c r="K33" i="29" s="1"/>
  <c r="I30" i="29"/>
  <c r="I31" i="29"/>
  <c r="K31" i="29" s="1"/>
  <c r="I29" i="29"/>
  <c r="K29" i="29" s="1"/>
  <c r="C34" i="29"/>
  <c r="E34" i="29" s="1"/>
  <c r="C33" i="29"/>
  <c r="C30" i="29"/>
  <c r="E30" i="29" s="1"/>
  <c r="C31" i="29"/>
  <c r="C29" i="29"/>
  <c r="E29" i="29" s="1"/>
  <c r="K34" i="29"/>
  <c r="K30" i="29"/>
  <c r="E33" i="29"/>
  <c r="E31" i="29"/>
  <c r="K35" i="29" l="1"/>
  <c r="E35" i="29"/>
  <c r="L16" i="27"/>
  <c r="M16" i="27"/>
  <c r="L17" i="27"/>
  <c r="M17" i="27"/>
  <c r="L18" i="27"/>
  <c r="M18" i="27"/>
  <c r="L19" i="27"/>
  <c r="M19" i="27"/>
  <c r="L20" i="27"/>
  <c r="M20" i="27"/>
  <c r="L21" i="27"/>
  <c r="M21" i="27"/>
  <c r="L22" i="27"/>
  <c r="M22" i="27"/>
  <c r="L23" i="27"/>
  <c r="M23" i="27"/>
  <c r="L24" i="27"/>
  <c r="M24" i="27"/>
  <c r="L25" i="27"/>
  <c r="M25" i="27"/>
  <c r="L26" i="27"/>
  <c r="M26" i="27"/>
  <c r="L27" i="27"/>
  <c r="M27" i="27"/>
  <c r="L28" i="27"/>
  <c r="M28" i="27"/>
  <c r="L29" i="27"/>
  <c r="M29" i="27"/>
  <c r="L30" i="27"/>
  <c r="M30" i="27"/>
  <c r="L31" i="27"/>
  <c r="M31" i="27"/>
  <c r="L32" i="27"/>
  <c r="M32" i="27"/>
  <c r="L33" i="27"/>
  <c r="M33" i="27"/>
  <c r="L34" i="27"/>
  <c r="M34" i="27"/>
  <c r="L35" i="27"/>
  <c r="M35" i="27"/>
  <c r="L36" i="27"/>
  <c r="M36" i="27"/>
  <c r="L37" i="27"/>
  <c r="M37" i="27"/>
  <c r="L38" i="27"/>
  <c r="M38" i="27"/>
  <c r="L39" i="27"/>
  <c r="M39" i="27"/>
  <c r="L40" i="27"/>
  <c r="M40" i="27"/>
  <c r="L41" i="27"/>
  <c r="M41" i="27"/>
  <c r="L42" i="27"/>
  <c r="M42" i="27"/>
  <c r="L43" i="27"/>
  <c r="M43" i="27"/>
  <c r="L44" i="27"/>
  <c r="M44" i="27"/>
  <c r="L45" i="27"/>
  <c r="M45" i="27"/>
  <c r="L46" i="27"/>
  <c r="M46" i="27"/>
  <c r="L47" i="27"/>
  <c r="M47" i="27"/>
  <c r="L48" i="27"/>
  <c r="M48" i="27"/>
  <c r="L49" i="27"/>
  <c r="M49" i="27"/>
  <c r="L50" i="27"/>
  <c r="M50" i="27"/>
  <c r="L51" i="27"/>
  <c r="M51" i="27"/>
  <c r="L52" i="27"/>
  <c r="M52" i="27"/>
  <c r="L53" i="27"/>
  <c r="M53" i="27"/>
  <c r="L54" i="27"/>
  <c r="M54" i="27"/>
  <c r="L55" i="27"/>
  <c r="M55" i="27"/>
  <c r="L56" i="27"/>
  <c r="M56" i="27"/>
  <c r="L57" i="27"/>
  <c r="M57" i="27"/>
  <c r="L58" i="27"/>
  <c r="M58" i="27"/>
  <c r="L59" i="27"/>
  <c r="M59" i="27"/>
  <c r="L60" i="27"/>
  <c r="M60" i="27"/>
  <c r="L61" i="27"/>
  <c r="M61" i="27"/>
  <c r="L62" i="27"/>
  <c r="M62" i="27"/>
  <c r="M15" i="27"/>
  <c r="I16" i="27"/>
  <c r="K16" i="27"/>
  <c r="I17" i="27"/>
  <c r="J17" i="27"/>
  <c r="K17" i="27"/>
  <c r="I18" i="27"/>
  <c r="J18" i="27"/>
  <c r="K18" i="27"/>
  <c r="I19" i="27"/>
  <c r="J19" i="27"/>
  <c r="K19" i="27"/>
  <c r="I20" i="27"/>
  <c r="J20" i="27"/>
  <c r="K20" i="27"/>
  <c r="I21" i="27"/>
  <c r="J21" i="27"/>
  <c r="K21" i="27"/>
  <c r="I22" i="27"/>
  <c r="J22" i="27"/>
  <c r="K22" i="27"/>
  <c r="I23" i="27"/>
  <c r="J23" i="27"/>
  <c r="K23" i="27"/>
  <c r="I24" i="27"/>
  <c r="J24" i="27"/>
  <c r="K24" i="27"/>
  <c r="I25" i="27"/>
  <c r="J25" i="27"/>
  <c r="K25" i="27"/>
  <c r="I26" i="27"/>
  <c r="J26" i="27"/>
  <c r="K26" i="27"/>
  <c r="I27" i="27"/>
  <c r="J27" i="27"/>
  <c r="K27" i="27"/>
  <c r="I28" i="27"/>
  <c r="J28" i="27"/>
  <c r="K28" i="27"/>
  <c r="I29" i="27"/>
  <c r="J29" i="27"/>
  <c r="K29" i="27"/>
  <c r="I30" i="27"/>
  <c r="J30" i="27"/>
  <c r="K30" i="27"/>
  <c r="I31" i="27"/>
  <c r="J31" i="27"/>
  <c r="K31" i="27"/>
  <c r="I32" i="27"/>
  <c r="J32" i="27"/>
  <c r="K32" i="27"/>
  <c r="I33" i="27"/>
  <c r="J33" i="27"/>
  <c r="K33" i="27"/>
  <c r="I34" i="27"/>
  <c r="J34" i="27"/>
  <c r="K34" i="27"/>
  <c r="I35" i="27"/>
  <c r="J35" i="27"/>
  <c r="K35" i="27"/>
  <c r="I36" i="27"/>
  <c r="J36" i="27"/>
  <c r="K36" i="27"/>
  <c r="I37" i="27"/>
  <c r="J37" i="27"/>
  <c r="K37" i="27"/>
  <c r="I38" i="27"/>
  <c r="J38" i="27"/>
  <c r="K38" i="27"/>
  <c r="I39" i="27"/>
  <c r="J39" i="27"/>
  <c r="K39" i="27"/>
  <c r="I40" i="27"/>
  <c r="J40" i="27"/>
  <c r="K40" i="27"/>
  <c r="I41" i="27"/>
  <c r="J41" i="27"/>
  <c r="K41" i="27"/>
  <c r="I42" i="27"/>
  <c r="J42" i="27"/>
  <c r="K42" i="27"/>
  <c r="I43" i="27"/>
  <c r="J43" i="27"/>
  <c r="K43" i="27"/>
  <c r="I44" i="27"/>
  <c r="J44" i="27"/>
  <c r="K44" i="27"/>
  <c r="I45" i="27"/>
  <c r="J45" i="27"/>
  <c r="K45" i="27"/>
  <c r="I46" i="27"/>
  <c r="J46" i="27"/>
  <c r="K46" i="27"/>
  <c r="I47" i="27"/>
  <c r="J47" i="27"/>
  <c r="K47" i="27"/>
  <c r="I48" i="27"/>
  <c r="J48" i="27"/>
  <c r="K48" i="27"/>
  <c r="I49" i="27"/>
  <c r="J49" i="27"/>
  <c r="K49" i="27"/>
  <c r="I50" i="27"/>
  <c r="J50" i="27"/>
  <c r="K50" i="27"/>
  <c r="I51" i="27"/>
  <c r="J51" i="27"/>
  <c r="K51" i="27"/>
  <c r="I52" i="27"/>
  <c r="J52" i="27"/>
  <c r="K52" i="27"/>
  <c r="I53" i="27"/>
  <c r="J53" i="27"/>
  <c r="K53" i="27"/>
  <c r="I54" i="27"/>
  <c r="J54" i="27"/>
  <c r="K54" i="27"/>
  <c r="I55" i="27"/>
  <c r="J55" i="27"/>
  <c r="K55" i="27"/>
  <c r="I56" i="27"/>
  <c r="J56" i="27"/>
  <c r="K56" i="27"/>
  <c r="I57" i="27"/>
  <c r="J57" i="27"/>
  <c r="K57" i="27"/>
  <c r="I58" i="27"/>
  <c r="J58" i="27"/>
  <c r="K58" i="27"/>
  <c r="I59" i="27"/>
  <c r="J59" i="27"/>
  <c r="K59" i="27"/>
  <c r="I60" i="27"/>
  <c r="J60" i="27"/>
  <c r="K60" i="27"/>
  <c r="I61" i="27"/>
  <c r="J61" i="27"/>
  <c r="K61" i="27"/>
  <c r="I62" i="27"/>
  <c r="J62" i="27"/>
  <c r="K62" i="27"/>
  <c r="L15" i="27"/>
  <c r="K15" i="27"/>
  <c r="C19" i="25"/>
  <c r="C18" i="25"/>
  <c r="J16" i="26" l="1"/>
  <c r="L9" i="24"/>
  <c r="K9" i="27"/>
  <c r="K8" i="27"/>
  <c r="K20" i="29"/>
  <c r="E20" i="29"/>
  <c r="K19" i="29"/>
  <c r="E19" i="29"/>
  <c r="K17" i="29"/>
  <c r="E17" i="29"/>
  <c r="K16" i="29"/>
  <c r="E16" i="29"/>
  <c r="K15" i="29"/>
  <c r="E15" i="29"/>
  <c r="J22" i="23"/>
  <c r="K12" i="23"/>
  <c r="K8" i="23"/>
  <c r="W5" i="21"/>
  <c r="K11" i="27" s="1"/>
  <c r="V5" i="21"/>
  <c r="K10" i="27" s="1"/>
  <c r="E21" i="29" l="1"/>
  <c r="E22" i="29" s="1"/>
  <c r="K21" i="29"/>
  <c r="K22" i="29" s="1"/>
  <c r="C20" i="25"/>
  <c r="K14" i="23"/>
  <c r="J23" i="26"/>
  <c r="L10" i="24"/>
  <c r="M13" i="24" s="1"/>
  <c r="M14" i="24" s="1"/>
  <c r="M16" i="24" s="1"/>
  <c r="L14" i="27"/>
  <c r="M14" i="27"/>
  <c r="N6" i="21"/>
  <c r="Y6" i="21" s="1"/>
  <c r="N7" i="21"/>
  <c r="Y7" i="21" s="1"/>
  <c r="N8" i="21"/>
  <c r="Y8" i="21" s="1"/>
  <c r="N9" i="21"/>
  <c r="Y9" i="21" s="1"/>
  <c r="N10" i="21"/>
  <c r="Y10" i="21" s="1"/>
  <c r="N11" i="21"/>
  <c r="Y11" i="21" s="1"/>
  <c r="N12" i="21"/>
  <c r="N13" i="21"/>
  <c r="Y13" i="21" s="1"/>
  <c r="N14" i="21"/>
  <c r="Y14" i="21" s="1"/>
  <c r="N15" i="21"/>
  <c r="Y15" i="21" s="1"/>
  <c r="N16" i="21"/>
  <c r="Y16" i="21" s="1"/>
  <c r="N17" i="21"/>
  <c r="Y17" i="21" s="1"/>
  <c r="N18" i="21"/>
  <c r="Y18" i="21" s="1"/>
  <c r="N19" i="21"/>
  <c r="Y19" i="21" s="1"/>
  <c r="N20" i="21"/>
  <c r="Y20" i="21" s="1"/>
  <c r="N21" i="21"/>
  <c r="Y21" i="21" s="1"/>
  <c r="N22" i="21"/>
  <c r="Y22" i="21" s="1"/>
  <c r="N23" i="21"/>
  <c r="Y23" i="21" s="1"/>
  <c r="N24" i="21"/>
  <c r="Y24" i="21" s="1"/>
  <c r="N25" i="21"/>
  <c r="Y25" i="21" s="1"/>
  <c r="N26" i="21"/>
  <c r="Y26" i="21" s="1"/>
  <c r="N27" i="21"/>
  <c r="Y27" i="21" s="1"/>
  <c r="N28" i="21"/>
  <c r="Y28" i="21" s="1"/>
  <c r="N29" i="21"/>
  <c r="Y29" i="21" s="1"/>
  <c r="N5" i="21"/>
  <c r="M6" i="21"/>
  <c r="X6" i="21" s="1"/>
  <c r="M7" i="21"/>
  <c r="X7" i="21" s="1"/>
  <c r="M8" i="21"/>
  <c r="X8" i="21" s="1"/>
  <c r="M9" i="21"/>
  <c r="X9" i="21" s="1"/>
  <c r="M10" i="21"/>
  <c r="X10" i="21" s="1"/>
  <c r="M11" i="21"/>
  <c r="X11" i="21" s="1"/>
  <c r="M12" i="21"/>
  <c r="M13" i="21"/>
  <c r="X13" i="21" s="1"/>
  <c r="M14" i="21"/>
  <c r="X14" i="21" s="1"/>
  <c r="M15" i="21"/>
  <c r="X15" i="21" s="1"/>
  <c r="M16" i="21"/>
  <c r="X16" i="21" s="1"/>
  <c r="M17" i="21"/>
  <c r="X17" i="21" s="1"/>
  <c r="M18" i="21"/>
  <c r="X18" i="21" s="1"/>
  <c r="M19" i="21"/>
  <c r="X19" i="21" s="1"/>
  <c r="M20" i="21"/>
  <c r="X20" i="21" s="1"/>
  <c r="M21" i="21"/>
  <c r="X21" i="21" s="1"/>
  <c r="M22" i="21"/>
  <c r="X22" i="21" s="1"/>
  <c r="M23" i="21"/>
  <c r="X23" i="21" s="1"/>
  <c r="M24" i="21"/>
  <c r="X24" i="21" s="1"/>
  <c r="M25" i="21"/>
  <c r="X25" i="21" s="1"/>
  <c r="M26" i="21"/>
  <c r="X26" i="21" s="1"/>
  <c r="M27" i="21"/>
  <c r="X27" i="21" s="1"/>
  <c r="M28" i="21"/>
  <c r="X28" i="21" s="1"/>
  <c r="M29" i="21"/>
  <c r="X29" i="21" s="1"/>
  <c r="M5" i="21"/>
  <c r="X5" i="21" s="1"/>
  <c r="L16" i="28" l="1"/>
  <c r="X12" i="21"/>
  <c r="J23" i="23"/>
  <c r="M16" i="28"/>
  <c r="Y12" i="21"/>
  <c r="M21" i="28"/>
  <c r="L17" i="28"/>
  <c r="M17" i="28"/>
  <c r="L21" i="28"/>
  <c r="M9" i="28"/>
  <c r="L22" i="28"/>
  <c r="L12" i="28"/>
  <c r="M13" i="28"/>
  <c r="L15" i="28"/>
  <c r="L11" i="28"/>
  <c r="M22" i="28"/>
  <c r="M18" i="28"/>
  <c r="M12" i="28"/>
  <c r="L18" i="28"/>
  <c r="L25" i="28"/>
  <c r="L14" i="28"/>
  <c r="L10" i="28"/>
  <c r="M15" i="28"/>
  <c r="M11" i="28"/>
  <c r="M8" i="28"/>
  <c r="Y5" i="21"/>
  <c r="L20" i="28"/>
  <c r="L8" i="28"/>
  <c r="L24" i="28"/>
  <c r="L13" i="28"/>
  <c r="L9" i="28"/>
  <c r="M25" i="28"/>
  <c r="M20" i="28"/>
  <c r="M14" i="28"/>
  <c r="M10" i="28"/>
  <c r="N14" i="27"/>
  <c r="C13" i="21"/>
  <c r="C12" i="21"/>
  <c r="M24" i="28" l="1"/>
  <c r="O15" i="26"/>
  <c r="O16" i="26" s="1"/>
  <c r="O17" i="26" s="1"/>
  <c r="O20" i="26" s="1"/>
  <c r="N20" i="26" s="1"/>
  <c r="L27" i="28"/>
  <c r="M27" i="28"/>
  <c r="N15" i="27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C14" i="21"/>
  <c r="N27" i="28" l="1"/>
</calcChain>
</file>

<file path=xl/sharedStrings.xml><?xml version="1.0" encoding="utf-8"?>
<sst xmlns="http://schemas.openxmlformats.org/spreadsheetml/2006/main" count="709" uniqueCount="253">
  <si>
    <t>ID Customer</t>
  </si>
  <si>
    <t>Nama Customer</t>
  </si>
  <si>
    <t xml:space="preserve">Alamat </t>
  </si>
  <si>
    <t>CP</t>
  </si>
  <si>
    <t>DATA PELANGGAN</t>
  </si>
  <si>
    <t>DATA PEGAWAI</t>
  </si>
  <si>
    <t>ID Karyawan</t>
  </si>
  <si>
    <t>Nama Karyawan</t>
  </si>
  <si>
    <t>Jabatan</t>
  </si>
  <si>
    <t>Alamat</t>
  </si>
  <si>
    <t>K0001</t>
  </si>
  <si>
    <t>Pemilik</t>
  </si>
  <si>
    <t>Sukodadi</t>
  </si>
  <si>
    <t>K0002</t>
  </si>
  <si>
    <t>ID Bahan</t>
  </si>
  <si>
    <t>Nama Bahan</t>
  </si>
  <si>
    <t>Harga Bahan</t>
  </si>
  <si>
    <t>Satuan</t>
  </si>
  <si>
    <t>Kuantitas</t>
  </si>
  <si>
    <t>Total</t>
  </si>
  <si>
    <t>DATA BARANG</t>
  </si>
  <si>
    <t>DATA PERIODE</t>
  </si>
  <si>
    <t>ID Periode</t>
  </si>
  <si>
    <t>Tanggal Awal</t>
  </si>
  <si>
    <t>Tanggal Akhir</t>
  </si>
  <si>
    <t>Masa</t>
  </si>
  <si>
    <t>DATA PRODUK</t>
  </si>
  <si>
    <t>Harga Produk</t>
  </si>
  <si>
    <t>Nama Produk</t>
  </si>
  <si>
    <t>ID Produk</t>
  </si>
  <si>
    <t>DATA PRODUKSI</t>
  </si>
  <si>
    <t>ID Produksi</t>
  </si>
  <si>
    <t>Nama Produksi</t>
  </si>
  <si>
    <t>Harga Produksi</t>
  </si>
  <si>
    <t>Total HPP</t>
  </si>
  <si>
    <t>Periode</t>
  </si>
  <si>
    <t>DATA TRANSAKSI PEMBELIAN</t>
  </si>
  <si>
    <t>ID TRANS</t>
  </si>
  <si>
    <t>Tanggal</t>
  </si>
  <si>
    <t>ID Supplier</t>
  </si>
  <si>
    <t>Nama Supplier</t>
  </si>
  <si>
    <t>Grand Total</t>
  </si>
  <si>
    <t>Bayar</t>
  </si>
  <si>
    <t>Kembali</t>
  </si>
  <si>
    <t>ID Trans</t>
  </si>
  <si>
    <t>DETAIL TRANSAKSI PEMBELIAN</t>
  </si>
  <si>
    <t>DATA TRANSAKSI PENJUALAN</t>
  </si>
  <si>
    <t>DETAIL TRANSAKSI PENJUALAN</t>
  </si>
  <si>
    <t>DATA SUPPLIER</t>
  </si>
  <si>
    <t>Kain Bludru Bagus</t>
  </si>
  <si>
    <t>Yard</t>
  </si>
  <si>
    <t>Benang</t>
  </si>
  <si>
    <t>Pcs</t>
  </si>
  <si>
    <t>Kain Keras</t>
  </si>
  <si>
    <t>Kardus</t>
  </si>
  <si>
    <t>Plastik</t>
  </si>
  <si>
    <t>Nama Akun</t>
  </si>
  <si>
    <t>Debit</t>
  </si>
  <si>
    <t>Kredit</t>
  </si>
  <si>
    <t>Keterangan</t>
  </si>
  <si>
    <t>1.1.2.3</t>
  </si>
  <si>
    <t>PERSEDIAAN BARANG DALAM PROSES</t>
  </si>
  <si>
    <t>1.1.2.1</t>
  </si>
  <si>
    <t>PERSEDIAAN BAHAN BAKU</t>
  </si>
  <si>
    <t>1.1.1.2</t>
  </si>
  <si>
    <t>PIUTANG USAHA</t>
  </si>
  <si>
    <t>Songkok Bagus</t>
  </si>
  <si>
    <t>prd1</t>
  </si>
  <si>
    <t>IS001</t>
  </si>
  <si>
    <t>IS002</t>
  </si>
  <si>
    <t>ID Akun</t>
  </si>
  <si>
    <t>Kategori</t>
  </si>
  <si>
    <t>Posisi</t>
  </si>
  <si>
    <t>Kelompok</t>
  </si>
  <si>
    <t>Saldo Awal</t>
  </si>
  <si>
    <t>Saldo Akhir</t>
  </si>
  <si>
    <t>DATA AKUN</t>
  </si>
  <si>
    <t>1.1.1.1</t>
  </si>
  <si>
    <t>KAS</t>
  </si>
  <si>
    <t>ASET</t>
  </si>
  <si>
    <t>DEBIT</t>
  </si>
  <si>
    <t>NERACA</t>
  </si>
  <si>
    <t>1.1.2.4</t>
  </si>
  <si>
    <t>PERSEDIAAN BARANG JADI</t>
  </si>
  <si>
    <t>1.1.3.1</t>
  </si>
  <si>
    <t>PERLENGKAPAN</t>
  </si>
  <si>
    <t>1.1.3.2</t>
  </si>
  <si>
    <t>PERALATAN</t>
  </si>
  <si>
    <t>1.2.1.1</t>
  </si>
  <si>
    <t>TANAH</t>
  </si>
  <si>
    <t>1.2.3.1</t>
  </si>
  <si>
    <t>BANGUNAN</t>
  </si>
  <si>
    <t>1.2.3.2</t>
  </si>
  <si>
    <t>AKM DEP BANGUNAN</t>
  </si>
  <si>
    <t>KREDIT</t>
  </si>
  <si>
    <t>2.1.1.1</t>
  </si>
  <si>
    <t>HUTANG USAHA</t>
  </si>
  <si>
    <t>KEWAJIBAN</t>
  </si>
  <si>
    <t>2.1.1.2</t>
  </si>
  <si>
    <t>HUTANG GAJI</t>
  </si>
  <si>
    <t>2.1.1.3</t>
  </si>
  <si>
    <t>HUTANG LAIN-LAIN</t>
  </si>
  <si>
    <t>3.1.1.1</t>
  </si>
  <si>
    <t>MODAL</t>
  </si>
  <si>
    <t>3.1.1.2</t>
  </si>
  <si>
    <t>PRIVE</t>
  </si>
  <si>
    <t>3.2.1.1</t>
  </si>
  <si>
    <t>SALDO LABA</t>
  </si>
  <si>
    <t>4.1.1.1</t>
  </si>
  <si>
    <t>PENJUALAN</t>
  </si>
  <si>
    <t>PENDAPATAN</t>
  </si>
  <si>
    <t>LABA/RUGI</t>
  </si>
  <si>
    <t>5.1.1.1</t>
  </si>
  <si>
    <t>HPP</t>
  </si>
  <si>
    <t>6.1.1.1</t>
  </si>
  <si>
    <t>BIAYA PEMASARAN</t>
  </si>
  <si>
    <t>BEBAN</t>
  </si>
  <si>
    <t>6.1.1.2</t>
  </si>
  <si>
    <t>BIAYA GAJI</t>
  </si>
  <si>
    <t>6.1.1.3</t>
  </si>
  <si>
    <t>BIAYA PENGIRIMAN</t>
  </si>
  <si>
    <t>6.1.1.4</t>
  </si>
  <si>
    <t>BIAYA ADMINISTRASI</t>
  </si>
  <si>
    <t>6.1.2.1</t>
  </si>
  <si>
    <t>BIAYA DEPRESIASI</t>
  </si>
  <si>
    <t>6.2.1.1</t>
  </si>
  <si>
    <t>BIAYA TKL</t>
  </si>
  <si>
    <t>6.2.1.2</t>
  </si>
  <si>
    <t>BIAYA OVERHEAD</t>
  </si>
  <si>
    <t>TOTAL DEBIT &amp; KREDIT</t>
  </si>
  <si>
    <t>BALANCE</t>
  </si>
  <si>
    <t>Kain Bludru Biasa</t>
  </si>
  <si>
    <t>Sri Mulyanti</t>
  </si>
  <si>
    <t>Rais</t>
  </si>
  <si>
    <t>Produksi</t>
  </si>
  <si>
    <t>K0003</t>
  </si>
  <si>
    <t>Ani</t>
  </si>
  <si>
    <t>Pondokkelor</t>
  </si>
  <si>
    <t>IC001</t>
  </si>
  <si>
    <t>Karimah</t>
  </si>
  <si>
    <t>Paiton</t>
  </si>
  <si>
    <t>IC002</t>
  </si>
  <si>
    <t>123123123</t>
  </si>
  <si>
    <t>1</t>
  </si>
  <si>
    <t>Songkok Biasa</t>
  </si>
  <si>
    <t>KUNCI IBADAH UTAMA</t>
  </si>
  <si>
    <t>Industri Songkok Berkualitas</t>
  </si>
  <si>
    <t>LAPORAN LABA RUGI</t>
  </si>
  <si>
    <t>TOTAL PENDAPATAN</t>
  </si>
  <si>
    <t>HPP (Harga Pokok Penjualan)</t>
  </si>
  <si>
    <t>TOTAL HPP</t>
  </si>
  <si>
    <t>Pendapatan Bersih</t>
  </si>
  <si>
    <t>BIAYA</t>
  </si>
  <si>
    <t>TOTAL BIAYA</t>
  </si>
  <si>
    <t>LAPORAN HARGA POKOK PRODUKSI</t>
  </si>
  <si>
    <t>Persediaan Barang Dalam Proses Awal</t>
  </si>
  <si>
    <t>Persediaan Bahan Awal</t>
  </si>
  <si>
    <t>Persediaan Bahan Akhir</t>
  </si>
  <si>
    <t>Total Biaya Bahan</t>
  </si>
  <si>
    <t>BTKL</t>
  </si>
  <si>
    <t>BOP</t>
  </si>
  <si>
    <t>Total Biaya Produksi</t>
  </si>
  <si>
    <t>Total Biaya Barang Dalam Proses</t>
  </si>
  <si>
    <t>Persediaan Barang Dalam Proses Akhir</t>
  </si>
  <si>
    <t>Harga Pokok Persediaan</t>
  </si>
  <si>
    <t>Laporan Jurnal</t>
  </si>
  <si>
    <t>TANGGAL</t>
  </si>
  <si>
    <t>URAIAN</t>
  </si>
  <si>
    <t>NAMA AKUN</t>
  </si>
  <si>
    <t>NO AKUN</t>
  </si>
  <si>
    <t>CEK</t>
  </si>
  <si>
    <t>LAPORAN NERACA</t>
  </si>
  <si>
    <t>AKTIVA</t>
  </si>
  <si>
    <t>KEWAJIBAN JANGKA PENDEK</t>
  </si>
  <si>
    <t>EKUITAS</t>
  </si>
  <si>
    <t>TOTAL ASET LANCAR</t>
  </si>
  <si>
    <t>TOTAL EKUITAS</t>
  </si>
  <si>
    <t>ASET TETAP</t>
  </si>
  <si>
    <t>TOTAL KEWAJIBAN DAN EKUITAS</t>
  </si>
  <si>
    <t>BALANCE(AKTIVA, TOTAL KEWAJIBAN DAN EKUITAS)</t>
  </si>
  <si>
    <t>TOTAL ASET TETAP</t>
  </si>
  <si>
    <t>TOTAL ASET</t>
  </si>
  <si>
    <t>BUKU BESAR</t>
  </si>
  <si>
    <t>:</t>
  </si>
  <si>
    <t>POSISI</t>
  </si>
  <si>
    <t>SALDO AWAL</t>
  </si>
  <si>
    <t>SALDO AKHIR</t>
  </si>
  <si>
    <t>LAPORAN TUTUP BUKU</t>
  </si>
  <si>
    <t>Produksi Songkok Bagus</t>
  </si>
  <si>
    <t>Produksi Songkok Biasa</t>
  </si>
  <si>
    <t>Jumlah produksi = 1 kodi</t>
  </si>
  <si>
    <t>1 kodi = 20 buah</t>
  </si>
  <si>
    <t>Harga/pcs/yard</t>
  </si>
  <si>
    <t>BAHAN BAKU</t>
  </si>
  <si>
    <t>Kain Bludru</t>
  </si>
  <si>
    <t>yard</t>
  </si>
  <si>
    <t>pcs</t>
  </si>
  <si>
    <t>Kain keras</t>
  </si>
  <si>
    <t>BAHAN PEMBANTU</t>
  </si>
  <si>
    <t>1 kodi</t>
  </si>
  <si>
    <t>harga per per unit</t>
  </si>
  <si>
    <t>ASSET</t>
  </si>
  <si>
    <t>LIABILITAS</t>
  </si>
  <si>
    <t>TOTAL</t>
  </si>
  <si>
    <t>PERIODE</t>
  </si>
  <si>
    <t>Jumlah produksi = 1 buah songkok</t>
  </si>
  <si>
    <t>1 buah songkok</t>
  </si>
  <si>
    <t>1.1.3.3</t>
  </si>
  <si>
    <t>AKM DEP PERALATAN</t>
  </si>
  <si>
    <t>085964168391</t>
  </si>
  <si>
    <t>Pak Hajir</t>
  </si>
  <si>
    <t>085786546698</t>
  </si>
  <si>
    <t>IC003</t>
  </si>
  <si>
    <t>Pengurus Ranting NU</t>
  </si>
  <si>
    <t>086537283765</t>
  </si>
  <si>
    <t>IC004</t>
  </si>
  <si>
    <t>Ponpes Mambaul Ulum</t>
  </si>
  <si>
    <t>089765347821</t>
  </si>
  <si>
    <t>IP-0001</t>
  </si>
  <si>
    <t>4</t>
  </si>
  <si>
    <t>IP-0002</t>
  </si>
  <si>
    <t>2</t>
  </si>
  <si>
    <t>Jumlah Unit</t>
  </si>
  <si>
    <t>BP-0002</t>
  </si>
  <si>
    <t>BP-0003</t>
  </si>
  <si>
    <t>IB-0001</t>
  </si>
  <si>
    <t>IB-0002</t>
  </si>
  <si>
    <t>IB-0003</t>
  </si>
  <si>
    <t>IB-0004</t>
  </si>
  <si>
    <t>Total Bahan</t>
  </si>
  <si>
    <t>Grosir 1</t>
  </si>
  <si>
    <t>Dringu</t>
  </si>
  <si>
    <t>087657345823</t>
  </si>
  <si>
    <t>Toko Pak Didik</t>
  </si>
  <si>
    <t>Laporan Jurnal Pembelian Bahan Baku</t>
  </si>
  <si>
    <t>Kuantitas Lama</t>
  </si>
  <si>
    <t>Harga Lama</t>
  </si>
  <si>
    <t>Total Lama</t>
  </si>
  <si>
    <t>Kuantitas Pembelian</t>
  </si>
  <si>
    <t>Harga Pembelian</t>
  </si>
  <si>
    <t>Total Pembelian</t>
  </si>
  <si>
    <t>Kuantitas Baru</t>
  </si>
  <si>
    <t>Harga Baru</t>
  </si>
  <si>
    <t>Total Baru</t>
  </si>
  <si>
    <t>ID BAHAN</t>
  </si>
  <si>
    <t>NAMA BAHAN</t>
  </si>
  <si>
    <t>AKM DEP  PERALATAN</t>
  </si>
  <si>
    <t>No. Nota</t>
  </si>
  <si>
    <t>10</t>
  </si>
  <si>
    <t>15</t>
  </si>
  <si>
    <t>3</t>
  </si>
  <si>
    <t>8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</si>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</sst>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??_-;_-@_-"/>
    <numFmt numFmtId="165" formatCode="0.0"/>
    <numFmt numFmtId="166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Montserrat"/>
    </font>
    <font>
      <sz val="11"/>
      <color theme="1"/>
      <name val="Montserrat"/>
    </font>
    <font>
      <b/>
      <sz val="11"/>
      <color theme="1"/>
      <name val="Montserrat"/>
    </font>
    <font>
      <sz val="10"/>
      <color theme="1"/>
      <name val="Montserrat"/>
    </font>
    <font>
      <b/>
      <sz val="11"/>
      <color theme="0"/>
      <name val="Montserrat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Montserrat"/>
    </font>
    <font>
      <sz val="10"/>
      <name val="Montserrat"/>
    </font>
    <font>
      <sz val="10"/>
      <color theme="0"/>
      <name val="Montserrat"/>
    </font>
    <font>
      <sz val="22"/>
      <color theme="1"/>
      <name val="Berlin Sans FB Demi"/>
      <family val="2"/>
    </font>
    <font>
      <b/>
      <sz val="11"/>
      <color theme="1"/>
      <name val="Bahnschrift"/>
      <family val="2"/>
    </font>
    <font>
      <sz val="26"/>
      <color theme="1"/>
      <name val="Bebas Neue"/>
      <family val="2"/>
    </font>
    <font>
      <b/>
      <sz val="11"/>
      <color theme="1"/>
      <name val="Berlin Sans FB"/>
      <family val="2"/>
    </font>
    <font>
      <sz val="11"/>
      <color theme="1"/>
      <name val="Berlin Sans FB"/>
      <family val="2"/>
    </font>
    <font>
      <sz val="11"/>
      <color theme="0"/>
      <name val="Berlin Sans FB"/>
      <family val="2"/>
    </font>
    <font>
      <b/>
      <sz val="12"/>
      <color theme="1"/>
      <name val="Montserrat"/>
    </font>
    <font>
      <sz val="11"/>
      <name val="Calibri"/>
      <family val="2"/>
      <scheme val="minor"/>
    </font>
    <font>
      <b/>
      <sz val="22"/>
      <color theme="1"/>
      <name val="Montserrat"/>
    </font>
    <font>
      <sz val="18"/>
      <color theme="1"/>
      <name val="Montserrat SemiBold"/>
    </font>
    <font>
      <sz val="11"/>
      <color theme="0"/>
      <name val="Montserrat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right" vertical="top"/>
    </xf>
    <xf numFmtId="43" fontId="6" fillId="0" borderId="0" xfId="0" applyNumberFormat="1" applyFont="1" applyAlignment="1">
      <alignment horizontal="right" vertical="top"/>
    </xf>
    <xf numFmtId="0" fontId="5" fillId="0" borderId="3" xfId="0" applyFont="1" applyBorder="1" applyAlignment="1">
      <alignment horizontal="left" vertical="top"/>
    </xf>
    <xf numFmtId="43" fontId="5" fillId="0" borderId="3" xfId="1" applyNumberFormat="1" applyFont="1" applyBorder="1" applyAlignment="1">
      <alignment horizontal="right" vertical="top"/>
    </xf>
    <xf numFmtId="43" fontId="5" fillId="0" borderId="3" xfId="0" applyNumberFormat="1" applyFont="1" applyBorder="1" applyAlignment="1">
      <alignment horizontal="right" vertical="top"/>
    </xf>
    <xf numFmtId="43" fontId="4" fillId="0" borderId="3" xfId="0" applyNumberFormat="1" applyFont="1" applyBorder="1" applyAlignment="1">
      <alignment horizontal="right" vertical="top"/>
    </xf>
    <xf numFmtId="0" fontId="4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14" fontId="6" fillId="0" borderId="0" xfId="0" applyNumberFormat="1" applyFont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4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14" fontId="6" fillId="0" borderId="0" xfId="0" applyNumberFormat="1" applyFont="1" applyAlignment="1">
      <alignment vertical="top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right" vertical="top"/>
    </xf>
    <xf numFmtId="0" fontId="4" fillId="0" borderId="0" xfId="0" applyFont="1"/>
    <xf numFmtId="0" fontId="8" fillId="0" borderId="0" xfId="0" applyFont="1"/>
    <xf numFmtId="43" fontId="8" fillId="0" borderId="0" xfId="0" applyNumberFormat="1" applyFont="1"/>
    <xf numFmtId="1" fontId="6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43" fontId="8" fillId="0" borderId="0" xfId="0" applyNumberFormat="1" applyFont="1" applyAlignment="1">
      <alignment vertical="top"/>
    </xf>
    <xf numFmtId="0" fontId="5" fillId="3" borderId="0" xfId="0" applyFont="1" applyFill="1" applyAlignment="1">
      <alignment horizontal="left" vertical="top"/>
    </xf>
    <xf numFmtId="43" fontId="8" fillId="0" borderId="0" xfId="0" applyNumberFormat="1" applyFont="1" applyAlignment="1">
      <alignment horizontal="right"/>
    </xf>
    <xf numFmtId="43" fontId="6" fillId="0" borderId="0" xfId="0" applyNumberFormat="1" applyFont="1" applyAlignment="1">
      <alignment vertical="top"/>
    </xf>
    <xf numFmtId="0" fontId="6" fillId="0" borderId="0" xfId="0" applyNumberFormat="1" applyFont="1" applyAlignment="1">
      <alignment horizontal="right" vertical="top"/>
    </xf>
    <xf numFmtId="0" fontId="6" fillId="0" borderId="0" xfId="0" applyNumberFormat="1" applyFont="1" applyAlignment="1">
      <alignment vertical="top"/>
    </xf>
    <xf numFmtId="0" fontId="6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0" fontId="12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horizontal="right" vertical="top"/>
    </xf>
    <xf numFmtId="43" fontId="18" fillId="0" borderId="0" xfId="0" applyNumberFormat="1" applyFont="1" applyAlignment="1">
      <alignment horizontal="right" vertical="top"/>
    </xf>
    <xf numFmtId="0" fontId="0" fillId="0" borderId="0" xfId="0" applyAlignment="1">
      <alignment vertical="top" wrapText="1"/>
    </xf>
    <xf numFmtId="0" fontId="17" fillId="0" borderId="0" xfId="0" applyFont="1" applyAlignment="1">
      <alignment horizontal="left" vertical="top" wrapText="1"/>
    </xf>
    <xf numFmtId="0" fontId="14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18" fillId="0" borderId="0" xfId="0" applyFont="1" applyBorder="1"/>
    <xf numFmtId="43" fontId="18" fillId="0" borderId="0" xfId="0" applyNumberFormat="1" applyFont="1" applyBorder="1" applyAlignment="1">
      <alignment horizontal="right" vertical="top"/>
    </xf>
    <xf numFmtId="0" fontId="0" fillId="0" borderId="0" xfId="0" applyBorder="1"/>
    <xf numFmtId="43" fontId="18" fillId="0" borderId="0" xfId="0" applyNumberFormat="1" applyFont="1" applyFill="1" applyBorder="1" applyAlignment="1">
      <alignment horizontal="right" vertical="top"/>
    </xf>
    <xf numFmtId="0" fontId="17" fillId="0" borderId="0" xfId="0" applyFont="1" applyBorder="1"/>
    <xf numFmtId="0" fontId="11" fillId="5" borderId="0" xfId="0" applyFont="1" applyFill="1" applyAlignment="1">
      <alignment horizontal="left" vertical="top"/>
    </xf>
    <xf numFmtId="14" fontId="12" fillId="0" borderId="0" xfId="0" applyNumberFormat="1" applyFont="1" applyAlignment="1">
      <alignment horizontal="left" vertical="top"/>
    </xf>
    <xf numFmtId="43" fontId="12" fillId="0" borderId="0" xfId="0" applyNumberFormat="1" applyFont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43" fontId="10" fillId="0" borderId="3" xfId="1" applyNumberFormat="1" applyFont="1" applyBorder="1" applyAlignment="1">
      <alignment horizontal="right" vertical="top"/>
    </xf>
    <xf numFmtId="43" fontId="10" fillId="0" borderId="3" xfId="0" applyNumberFormat="1" applyFont="1" applyBorder="1" applyAlignment="1">
      <alignment horizontal="right" vertical="top"/>
    </xf>
    <xf numFmtId="43" fontId="0" fillId="0" borderId="3" xfId="0" applyNumberFormat="1" applyBorder="1" applyAlignment="1">
      <alignment horizontal="right" vertical="top"/>
    </xf>
    <xf numFmtId="14" fontId="18" fillId="0" borderId="0" xfId="0" applyNumberFormat="1" applyFont="1" applyAlignment="1">
      <alignment horizontal="left" vertical="top"/>
    </xf>
    <xf numFmtId="43" fontId="17" fillId="0" borderId="0" xfId="0" applyNumberFormat="1" applyFont="1" applyAlignment="1">
      <alignment horizontal="right" vertical="top"/>
    </xf>
    <xf numFmtId="43" fontId="19" fillId="0" borderId="0" xfId="0" applyNumberFormat="1" applyFont="1" applyAlignment="1">
      <alignment horizontal="right" vertical="top"/>
    </xf>
    <xf numFmtId="0" fontId="18" fillId="0" borderId="0" xfId="0" applyFont="1" applyAlignment="1">
      <alignment horizontal="left" vertical="top" wrapText="1"/>
    </xf>
    <xf numFmtId="43" fontId="0" fillId="0" borderId="0" xfId="0" applyNumberFormat="1" applyBorder="1" applyAlignment="1">
      <alignment horizontal="right" vertical="top"/>
    </xf>
    <xf numFmtId="43" fontId="0" fillId="0" borderId="0" xfId="2" applyNumberFormat="1" applyFont="1" applyAlignment="1">
      <alignment horizontal="right" vertical="top"/>
    </xf>
    <xf numFmtId="43" fontId="0" fillId="0" borderId="0" xfId="0" applyNumberFormat="1" applyAlignment="1">
      <alignment horizontal="right" vertical="top"/>
    </xf>
    <xf numFmtId="0" fontId="18" fillId="0" borderId="0" xfId="0" applyFont="1"/>
    <xf numFmtId="0" fontId="6" fillId="0" borderId="0" xfId="0" applyFont="1" applyAlignment="1"/>
    <xf numFmtId="14" fontId="6" fillId="0" borderId="0" xfId="0" applyNumberFormat="1" applyFont="1" applyAlignment="1"/>
    <xf numFmtId="14" fontId="0" fillId="0" borderId="0" xfId="0" applyNumberFormat="1"/>
    <xf numFmtId="0" fontId="11" fillId="5" borderId="0" xfId="0" applyFont="1" applyFill="1" applyAlignment="1">
      <alignment vertical="top"/>
    </xf>
    <xf numFmtId="0" fontId="12" fillId="0" borderId="0" xfId="0" applyFont="1" applyFill="1" applyAlignment="1">
      <alignment horizontal="left"/>
    </xf>
    <xf numFmtId="14" fontId="12" fillId="0" borderId="0" xfId="0" applyNumberFormat="1" applyFont="1" applyFill="1" applyAlignment="1"/>
    <xf numFmtId="43" fontId="12" fillId="0" borderId="0" xfId="0" applyNumberFormat="1" applyFont="1" applyFill="1" applyAlignment="1">
      <alignment horizontal="left"/>
    </xf>
    <xf numFmtId="43" fontId="6" fillId="0" borderId="0" xfId="0" applyNumberFormat="1" applyFont="1" applyAlignment="1"/>
    <xf numFmtId="43" fontId="0" fillId="0" borderId="0" xfId="0" applyNumberFormat="1"/>
    <xf numFmtId="0" fontId="20" fillId="0" borderId="0" xfId="0" applyFont="1" applyAlignment="1">
      <alignment vertical="top"/>
    </xf>
    <xf numFmtId="0" fontId="2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3" xfId="0" applyFont="1" applyBorder="1" applyAlignment="1">
      <alignment horizontal="right" vertical="top"/>
    </xf>
    <xf numFmtId="43" fontId="4" fillId="0" borderId="3" xfId="1" applyNumberFormat="1" applyFont="1" applyBorder="1" applyAlignment="1">
      <alignment horizontal="right" vertical="top"/>
    </xf>
    <xf numFmtId="164" fontId="4" fillId="0" borderId="0" xfId="1" applyNumberFormat="1" applyFont="1" applyAlignment="1">
      <alignment horizontal="left" vertical="top"/>
    </xf>
    <xf numFmtId="43" fontId="4" fillId="0" borderId="0" xfId="1" applyNumberFormat="1" applyFont="1" applyAlignment="1">
      <alignment horizontal="right" vertical="top"/>
    </xf>
    <xf numFmtId="43" fontId="4" fillId="0" borderId="0" xfId="0" applyNumberFormat="1" applyFont="1" applyAlignment="1">
      <alignment horizontal="right" vertical="top"/>
    </xf>
    <xf numFmtId="0" fontId="21" fillId="0" borderId="0" xfId="0" applyFont="1"/>
    <xf numFmtId="43" fontId="21" fillId="0" borderId="0" xfId="0" applyNumberFormat="1" applyFont="1" applyBorder="1" applyAlignment="1">
      <alignment horizontal="right" vertical="top"/>
    </xf>
    <xf numFmtId="0" fontId="21" fillId="0" borderId="0" xfId="0" applyFont="1" applyAlignment="1">
      <alignment horizontal="left" vertical="top"/>
    </xf>
    <xf numFmtId="0" fontId="6" fillId="0" borderId="0" xfId="0" applyFont="1"/>
    <xf numFmtId="14" fontId="6" fillId="0" borderId="0" xfId="0" applyNumberFormat="1" applyFont="1"/>
    <xf numFmtId="43" fontId="6" fillId="0" borderId="0" xfId="0" applyNumberFormat="1" applyFont="1" applyAlignment="1">
      <alignment horizontal="center" vertical="center"/>
    </xf>
    <xf numFmtId="0" fontId="0" fillId="0" borderId="0" xfId="0" quotePrefix="1"/>
    <xf numFmtId="0" fontId="13" fillId="6" borderId="0" xfId="0" applyFont="1" applyFill="1" applyAlignment="1">
      <alignment horizontal="center" vertical="center"/>
    </xf>
    <xf numFmtId="14" fontId="11" fillId="5" borderId="0" xfId="0" applyNumberFormat="1" applyFont="1" applyFill="1" applyAlignment="1">
      <alignment horizontal="left" vertical="top"/>
    </xf>
    <xf numFmtId="14" fontId="12" fillId="0" borderId="0" xfId="0" applyNumberFormat="1" applyFont="1" applyFill="1" applyAlignment="1">
      <alignment horizontal="left"/>
    </xf>
    <xf numFmtId="0" fontId="6" fillId="0" borderId="0" xfId="0" applyFont="1" applyBorder="1" applyAlignment="1">
      <alignment horizontal="left" vertical="top"/>
    </xf>
    <xf numFmtId="43" fontId="6" fillId="0" borderId="0" xfId="0" applyNumberFormat="1" applyFont="1" applyBorder="1" applyAlignment="1">
      <alignment horizontal="right" vertical="top"/>
    </xf>
    <xf numFmtId="43" fontId="6" fillId="0" borderId="0" xfId="2" applyNumberFormat="1" applyFont="1"/>
    <xf numFmtId="0" fontId="7" fillId="0" borderId="0" xfId="0" applyFont="1" applyFill="1" applyAlignment="1">
      <alignment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right" vertical="top"/>
    </xf>
    <xf numFmtId="43" fontId="13" fillId="0" borderId="0" xfId="0" applyNumberFormat="1" applyFont="1" applyAlignment="1">
      <alignment horizontal="right" vertical="top"/>
    </xf>
    <xf numFmtId="43" fontId="6" fillId="0" borderId="0" xfId="1" applyFont="1" applyAlignment="1">
      <alignment horizontal="right" vertical="top"/>
    </xf>
    <xf numFmtId="43" fontId="12" fillId="0" borderId="0" xfId="1" applyFont="1" applyAlignment="1">
      <alignment horizontal="right" vertical="top"/>
    </xf>
    <xf numFmtId="2" fontId="4" fillId="0" borderId="3" xfId="0" applyNumberFormat="1" applyFont="1" applyBorder="1" applyAlignment="1">
      <alignment horizontal="right" vertical="top"/>
    </xf>
    <xf numFmtId="165" fontId="4" fillId="0" borderId="3" xfId="0" applyNumberFormat="1" applyFont="1" applyBorder="1" applyAlignment="1">
      <alignment horizontal="right" vertical="top"/>
    </xf>
    <xf numFmtId="1" fontId="4" fillId="0" borderId="3" xfId="0" applyNumberFormat="1" applyFont="1" applyBorder="1" applyAlignment="1">
      <alignment horizontal="right" vertical="top"/>
    </xf>
    <xf numFmtId="0" fontId="13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right" vertical="top"/>
    </xf>
    <xf numFmtId="43" fontId="6" fillId="0" borderId="0" xfId="1" applyFont="1" applyAlignment="1">
      <alignment vertical="top"/>
    </xf>
    <xf numFmtId="0" fontId="23" fillId="0" borderId="0" xfId="0" applyFont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43" fontId="6" fillId="0" borderId="0" xfId="1" applyFont="1"/>
    <xf numFmtId="166" fontId="6" fillId="0" borderId="0" xfId="1" applyNumberFormat="1" applyFont="1"/>
    <xf numFmtId="166" fontId="6" fillId="0" borderId="0" xfId="1" applyNumberFormat="1" applyFont="1" applyAlignment="1">
      <alignment horizontal="right" vertical="top"/>
    </xf>
    <xf numFmtId="166" fontId="4" fillId="0" borderId="0" xfId="1" applyNumberFormat="1" applyFont="1"/>
    <xf numFmtId="0" fontId="24" fillId="0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13" fillId="0" borderId="0" xfId="0" applyNumberFormat="1" applyFont="1" applyAlignment="1">
      <alignment horizontal="left" vertical="top"/>
    </xf>
    <xf numFmtId="166" fontId="24" fillId="0" borderId="0" xfId="1" applyNumberFormat="1" applyFont="1"/>
    <xf numFmtId="166" fontId="6" fillId="0" borderId="0" xfId="1" applyNumberFormat="1" applyFont="1" applyAlignment="1">
      <alignment horizontal="right"/>
    </xf>
    <xf numFmtId="43" fontId="6" fillId="0" borderId="0" xfId="1" applyNumberFormat="1" applyFont="1" applyAlignment="1">
      <alignment horizontal="right" vertical="top"/>
    </xf>
    <xf numFmtId="14" fontId="0" fillId="0" borderId="0" xfId="0" applyNumberFormat="1" applyAlignment="1"/>
    <xf numFmtId="0" fontId="3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 vertical="top"/>
    </xf>
    <xf numFmtId="0" fontId="9" fillId="4" borderId="2" xfId="0" applyFont="1" applyFill="1" applyBorder="1" applyAlignment="1">
      <alignment horizontal="center" vertical="top"/>
    </xf>
    <xf numFmtId="0" fontId="2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2" fillId="7" borderId="5" xfId="0" applyFont="1" applyFill="1" applyBorder="1" applyAlignment="1">
      <alignment horizontal="left" vertical="center"/>
    </xf>
    <xf numFmtId="0" fontId="22" fillId="7" borderId="4" xfId="0" applyFont="1" applyFill="1" applyBorder="1" applyAlignment="1">
      <alignment horizontal="left" vertical="center"/>
    </xf>
    <xf numFmtId="0" fontId="22" fillId="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 vertical="top"/>
    </xf>
    <xf numFmtId="0" fontId="7" fillId="4" borderId="2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275665</xdr:colOff>
      <xdr:row>14</xdr:row>
      <xdr:rowOff>39341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86325" cy="28682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3</xdr:col>
      <xdr:colOff>9525</xdr:colOff>
      <xdr:row>9</xdr:row>
      <xdr:rowOff>53338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9050"/>
          <a:ext cx="3124200" cy="191071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3</xdr:col>
      <xdr:colOff>9525</xdr:colOff>
      <xdr:row>9</xdr:row>
      <xdr:rowOff>53338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9050"/>
          <a:ext cx="3124200" cy="191071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3</xdr:col>
      <xdr:colOff>9525</xdr:colOff>
      <xdr:row>9</xdr:row>
      <xdr:rowOff>43813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9050"/>
          <a:ext cx="3124200" cy="191071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3</xdr:col>
      <xdr:colOff>9525</xdr:colOff>
      <xdr:row>9</xdr:row>
      <xdr:rowOff>43813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9050"/>
          <a:ext cx="3124200" cy="191071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3</xdr:col>
      <xdr:colOff>9525</xdr:colOff>
      <xdr:row>9</xdr:row>
      <xdr:rowOff>43813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9050"/>
          <a:ext cx="3124200" cy="191071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3</xdr:col>
      <xdr:colOff>9525</xdr:colOff>
      <xdr:row>9</xdr:row>
      <xdr:rowOff>53338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9050"/>
          <a:ext cx="3124200" cy="191071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66674</xdr:colOff>
      <xdr:row>0</xdr:row>
      <xdr:rowOff>9525</xdr:rowOff>
    </xdr:from>
    <xdr:to>
      <xdr:col>12</xdr:col>
      <xdr:colOff>533400</xdr:colOff>
      <xdr:row>9</xdr:row>
      <xdr:rowOff>117602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899" y="9525"/>
          <a:ext cx="3067051" cy="19845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657224</xdr:colOff>
      <xdr:row>0</xdr:row>
      <xdr:rowOff>66675</xdr:rowOff>
    </xdr:from>
    <xdr:to>
      <xdr:col>12</xdr:col>
      <xdr:colOff>604503</xdr:colOff>
      <xdr:row>10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4" y="66675"/>
          <a:ext cx="3223879" cy="208597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3</xdr:col>
      <xdr:colOff>9525</xdr:colOff>
      <xdr:row>9</xdr:row>
      <xdr:rowOff>53338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9050"/>
          <a:ext cx="3124200" cy="19107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591671</xdr:colOff>
      <xdr:row>13</xdr:row>
      <xdr:rowOff>186698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8871" cy="2863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507999</xdr:colOff>
      <xdr:row>12</xdr:row>
      <xdr:rowOff>169333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003799" cy="30839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57150</xdr:rowOff>
    </xdr:from>
    <xdr:to>
      <xdr:col>6</xdr:col>
      <xdr:colOff>590550</xdr:colOff>
      <xdr:row>12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57150"/>
          <a:ext cx="5000625" cy="3095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590550</xdr:colOff>
      <xdr:row>15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191125" cy="35147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4036</xdr:colOff>
      <xdr:row>13</xdr:row>
      <xdr:rowOff>152401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4880836" cy="30289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9525</xdr:colOff>
      <xdr:row>11</xdr:row>
      <xdr:rowOff>163166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86325" cy="28682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28574</xdr:colOff>
      <xdr:row>0</xdr:row>
      <xdr:rowOff>0</xdr:rowOff>
    </xdr:from>
    <xdr:to>
      <xdr:col>6</xdr:col>
      <xdr:colOff>495300</xdr:colOff>
      <xdr:row>11</xdr:row>
      <xdr:rowOff>19049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899" y="0"/>
          <a:ext cx="3562351" cy="212407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2</xdr:col>
      <xdr:colOff>1311275</xdr:colOff>
      <xdr:row>9</xdr:row>
      <xdr:rowOff>53338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9050"/>
          <a:ext cx="3124200" cy="19107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externalLinkPath" Target="/Data%20Project%20Samid/KIU_Project/KIU_REPORT.xls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T53"/>
  <sheetViews>
    <sheetView topLeftCell="A6" zoomScale="85" zoomScaleNormal="85" workbookViewId="0">
      <selection activeCell="M35" sqref="M35"/>
    </sheetView>
  </sheetViews>
  <sheetFormatPr defaultRowHeight="15" x14ac:dyDescent="0.25"/>
  <cols>
    <col min="3" max="3" width="14.28515625" bestFit="1" customWidth="1"/>
    <col min="10" max="10" width="11.85546875" style="33" bestFit="1" customWidth="1"/>
    <col min="11" max="11" width="15.5703125" style="49" bestFit="1" customWidth="1"/>
    <col min="12" max="12" width="11.28515625" style="33" bestFit="1" customWidth="1"/>
    <col min="13" max="13" width="42" style="33" bestFit="1" customWidth="1"/>
    <col min="14" max="14" width="40" style="33" bestFit="1" customWidth="1"/>
    <col min="15" max="15" width="11.7109375" style="50" bestFit="1" customWidth="1"/>
    <col min="16" max="16" width="17" style="33" bestFit="1" customWidth="1"/>
    <col min="17" max="17" width="40" style="33" bestFit="1" customWidth="1"/>
    <col min="18" max="18" width="11.7109375" style="50" bestFit="1" customWidth="1"/>
    <col min="19" max="19" width="17" style="4" bestFit="1" customWidth="1"/>
    <col min="21" max="21" width="11.85546875" bestFit="1" customWidth="1"/>
    <col min="22" max="22" width="11.140625" bestFit="1" customWidth="1"/>
    <col min="25" max="25" width="14.140625" bestFit="1" customWidth="1"/>
    <col min="27" max="27" width="13.140625" bestFit="1" customWidth="1"/>
    <col min="28" max="28" width="14.28515625" bestFit="1" customWidth="1"/>
  </cols>
  <sheetData>
    <row r="1" spans="10:20" x14ac:dyDescent="0.25">
      <c r="J1"/>
      <c r="K1"/>
      <c r="L1"/>
      <c r="M1"/>
      <c r="N1"/>
      <c r="O1"/>
      <c r="P1"/>
      <c r="Q1"/>
      <c r="R1"/>
      <c r="S1"/>
    </row>
    <row r="2" spans="10:20" x14ac:dyDescent="0.25">
      <c r="J2"/>
      <c r="K2"/>
      <c r="L2"/>
      <c r="M2"/>
      <c r="N2"/>
      <c r="O2"/>
      <c r="P2"/>
      <c r="Q2"/>
      <c r="R2"/>
      <c r="S2"/>
    </row>
    <row r="3" spans="10:20" ht="27.75" customHeight="1" x14ac:dyDescent="0.25">
      <c r="J3" s="122" t="s">
        <v>165</v>
      </c>
      <c r="K3" s="122"/>
      <c r="L3" s="122"/>
      <c r="M3" s="122"/>
      <c r="N3" s="122"/>
      <c r="O3" s="122"/>
      <c r="P3" s="122"/>
      <c r="Q3" s="122"/>
      <c r="R3" s="122"/>
      <c r="S3"/>
    </row>
    <row r="4" spans="10:20" ht="15" customHeight="1" x14ac:dyDescent="0.25">
      <c r="J4" s="122"/>
      <c r="K4" s="122"/>
      <c r="L4" s="122"/>
      <c r="M4" s="122"/>
      <c r="N4" s="122"/>
      <c r="O4" s="122"/>
      <c r="P4" s="122"/>
      <c r="Q4" s="122"/>
      <c r="R4" s="122"/>
      <c r="S4"/>
    </row>
    <row r="5" spans="10:20" x14ac:dyDescent="0.25">
      <c r="J5" s="10"/>
      <c r="K5" s="10"/>
      <c r="L5" s="10"/>
      <c r="M5" s="10"/>
      <c r="N5" s="10"/>
      <c r="O5" s="10"/>
      <c r="P5" s="10"/>
      <c r="Q5" s="10"/>
      <c r="R5" s="10"/>
      <c r="S5"/>
    </row>
    <row r="6" spans="10:20" x14ac:dyDescent="0.25">
      <c r="J6" s="48" t="s">
        <v>37</v>
      </c>
      <c r="K6" s="48" t="s">
        <v>166</v>
      </c>
      <c r="L6" s="48" t="s">
        <v>204</v>
      </c>
      <c r="M6" s="48" t="s">
        <v>167</v>
      </c>
      <c r="N6" s="48" t="s">
        <v>168</v>
      </c>
      <c r="O6" s="48" t="s">
        <v>169</v>
      </c>
      <c r="P6" s="48" t="s">
        <v>80</v>
      </c>
      <c r="Q6" s="48" t="s">
        <v>168</v>
      </c>
      <c r="R6" s="48" t="s">
        <v>169</v>
      </c>
      <c r="S6" s="48" t="s">
        <v>94</v>
      </c>
      <c r="T6" s="48" t="s">
        <v>170</v>
      </c>
    </row>
    <row r="7" spans="10:20" x14ac:dyDescent="0.25">
      <c r="P7" s="101"/>
      <c r="S7" s="100"/>
    </row>
    <row r="8" spans="10:20" x14ac:dyDescent="0.25">
      <c r="P8" s="101"/>
      <c r="S8" s="100"/>
    </row>
    <row r="9" spans="10:20" x14ac:dyDescent="0.25">
      <c r="P9" s="101"/>
      <c r="S9" s="100"/>
    </row>
    <row r="10" spans="10:20" x14ac:dyDescent="0.25">
      <c r="L10" s="85"/>
      <c r="P10" s="101"/>
      <c r="S10" s="100"/>
    </row>
    <row r="11" spans="10:20" x14ac:dyDescent="0.25">
      <c r="P11" s="101"/>
      <c r="S11" s="100"/>
    </row>
    <row r="12" spans="10:20" x14ac:dyDescent="0.25">
      <c r="P12" s="101"/>
      <c r="S12" s="100"/>
    </row>
    <row r="13" spans="10:20" x14ac:dyDescent="0.25">
      <c r="P13" s="101"/>
      <c r="S13" s="100"/>
    </row>
    <row r="14" spans="10:20" x14ac:dyDescent="0.25">
      <c r="P14" s="101"/>
      <c r="S14" s="100"/>
    </row>
    <row r="15" spans="10:20" x14ac:dyDescent="0.25">
      <c r="P15" s="101"/>
      <c r="S15" s="100"/>
    </row>
    <row r="16" spans="10:20" x14ac:dyDescent="0.25">
      <c r="P16" s="101"/>
      <c r="S16" s="100"/>
    </row>
    <row r="17" spans="2:19" x14ac:dyDescent="0.25">
      <c r="B17" s="123" t="s">
        <v>129</v>
      </c>
      <c r="C17" s="124"/>
      <c r="P17" s="101"/>
      <c r="S17" s="100"/>
    </row>
    <row r="18" spans="2:19" x14ac:dyDescent="0.25">
      <c r="B18" s="51" t="s">
        <v>80</v>
      </c>
      <c r="C18" s="52">
        <f>SUM(P7:P53)</f>
        <v>0</v>
      </c>
      <c r="P18" s="101"/>
      <c r="S18" s="100"/>
    </row>
    <row r="19" spans="2:19" x14ac:dyDescent="0.25">
      <c r="B19" s="51" t="s">
        <v>94</v>
      </c>
      <c r="C19" s="53">
        <f>SUM(S7:S53)</f>
        <v>0</v>
      </c>
      <c r="P19" s="101"/>
      <c r="S19" s="100"/>
    </row>
    <row r="20" spans="2:19" x14ac:dyDescent="0.25">
      <c r="B20" s="51" t="s">
        <v>130</v>
      </c>
      <c r="C20" s="54">
        <f>IF(C18&lt;C19,C18-C19,IF(C18&gt;C19,C19-C18,0))</f>
        <v>0</v>
      </c>
      <c r="P20" s="101"/>
      <c r="S20" s="100"/>
    </row>
    <row r="21" spans="2:19" x14ac:dyDescent="0.25">
      <c r="P21" s="101"/>
      <c r="S21" s="100"/>
    </row>
    <row r="22" spans="2:19" x14ac:dyDescent="0.25">
      <c r="P22" s="101"/>
      <c r="S22" s="100"/>
    </row>
    <row r="23" spans="2:19" x14ac:dyDescent="0.25">
      <c r="P23" s="101"/>
      <c r="S23" s="100"/>
    </row>
    <row r="24" spans="2:19" x14ac:dyDescent="0.25">
      <c r="P24" s="101"/>
      <c r="S24" s="100"/>
    </row>
    <row r="25" spans="2:19" x14ac:dyDescent="0.25">
      <c r="P25" s="101"/>
      <c r="S25" s="100"/>
    </row>
    <row r="26" spans="2:19" x14ac:dyDescent="0.25">
      <c r="P26" s="101"/>
      <c r="S26" s="100"/>
    </row>
    <row r="27" spans="2:19" x14ac:dyDescent="0.25">
      <c r="P27" s="101"/>
      <c r="S27" s="100"/>
    </row>
    <row r="28" spans="2:19" x14ac:dyDescent="0.25">
      <c r="P28" s="101"/>
      <c r="S28" s="100"/>
    </row>
    <row r="29" spans="2:19" x14ac:dyDescent="0.25">
      <c r="P29" s="101"/>
      <c r="S29" s="100"/>
    </row>
    <row r="30" spans="2:19" x14ac:dyDescent="0.25">
      <c r="P30" s="101"/>
      <c r="S30" s="100"/>
    </row>
    <row r="31" spans="2:19" x14ac:dyDescent="0.25">
      <c r="P31" s="101"/>
      <c r="S31" s="100"/>
    </row>
    <row r="32" spans="2:19" x14ac:dyDescent="0.25">
      <c r="P32" s="101"/>
      <c r="S32" s="100"/>
    </row>
    <row r="33" spans="16:19" x14ac:dyDescent="0.25">
      <c r="P33" s="101"/>
      <c r="S33" s="100"/>
    </row>
    <row r="34" spans="16:19" x14ac:dyDescent="0.25">
      <c r="P34" s="101"/>
      <c r="S34" s="100"/>
    </row>
    <row r="35" spans="16:19" x14ac:dyDescent="0.25">
      <c r="P35" s="101"/>
      <c r="S35" s="100"/>
    </row>
    <row r="36" spans="16:19" x14ac:dyDescent="0.25">
      <c r="P36" s="101"/>
      <c r="S36" s="100"/>
    </row>
    <row r="37" spans="16:19" x14ac:dyDescent="0.25">
      <c r="P37" s="101"/>
      <c r="S37" s="100"/>
    </row>
    <row r="38" spans="16:19" x14ac:dyDescent="0.25">
      <c r="P38" s="101"/>
      <c r="S38" s="100"/>
    </row>
    <row r="39" spans="16:19" x14ac:dyDescent="0.25">
      <c r="P39" s="101"/>
      <c r="S39" s="100"/>
    </row>
    <row r="40" spans="16:19" x14ac:dyDescent="0.25">
      <c r="P40" s="101"/>
      <c r="S40" s="100"/>
    </row>
    <row r="41" spans="16:19" x14ac:dyDescent="0.25">
      <c r="P41" s="101"/>
      <c r="S41" s="100"/>
    </row>
    <row r="42" spans="16:19" x14ac:dyDescent="0.25">
      <c r="P42" s="101"/>
      <c r="S42" s="100"/>
    </row>
    <row r="43" spans="16:19" x14ac:dyDescent="0.25">
      <c r="P43" s="101"/>
      <c r="S43" s="100"/>
    </row>
    <row r="44" spans="16:19" x14ac:dyDescent="0.25">
      <c r="P44" s="101"/>
      <c r="S44" s="100"/>
    </row>
    <row r="45" spans="16:19" x14ac:dyDescent="0.25">
      <c r="P45" s="101"/>
      <c r="S45" s="100"/>
    </row>
    <row r="46" spans="16:19" x14ac:dyDescent="0.25">
      <c r="P46" s="101"/>
      <c r="S46" s="100"/>
    </row>
    <row r="47" spans="16:19" x14ac:dyDescent="0.25">
      <c r="P47" s="101"/>
      <c r="S47" s="100"/>
    </row>
    <row r="48" spans="16:19" x14ac:dyDescent="0.25">
      <c r="P48" s="101"/>
      <c r="S48" s="100"/>
    </row>
    <row r="49" spans="16:19" x14ac:dyDescent="0.25">
      <c r="P49" s="101"/>
      <c r="S49" s="100"/>
    </row>
    <row r="50" spans="16:19" x14ac:dyDescent="0.25">
      <c r="P50" s="101"/>
      <c r="S50" s="100"/>
    </row>
    <row r="51" spans="16:19" x14ac:dyDescent="0.25">
      <c r="P51" s="101"/>
      <c r="S51" s="100"/>
    </row>
    <row r="52" spans="16:19" x14ac:dyDescent="0.25">
      <c r="P52" s="101"/>
      <c r="S52" s="100"/>
    </row>
    <row r="53" spans="16:19" x14ac:dyDescent="0.25">
      <c r="P53" s="101"/>
      <c r="S53" s="100"/>
    </row>
  </sheetData>
  <mergeCells count="2">
    <mergeCell ref="J3:R4"/>
    <mergeCell ref="B17:C1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2"/>
  <sheetViews>
    <sheetView workbookViewId="0">
      <selection activeCell="H6" sqref="H6"/>
    </sheetView>
  </sheetViews>
  <sheetFormatPr defaultRowHeight="15" x14ac:dyDescent="0.25"/>
  <cols>
    <col min="1" max="3" width="15.7109375" customWidth="1"/>
    <col min="4" max="4" width="3.5703125" customWidth="1"/>
    <col min="5" max="5" width="15.28515625" style="11" bestFit="1" customWidth="1"/>
    <col min="6" max="6" width="23.85546875" style="11" bestFit="1" customWidth="1"/>
    <col min="7" max="7" width="13.140625" style="11" bestFit="1" customWidth="1"/>
    <col min="8" max="8" width="15" style="23" bestFit="1" customWidth="1"/>
  </cols>
  <sheetData>
    <row r="1" spans="1:8" x14ac:dyDescent="0.25">
      <c r="A1" s="1"/>
      <c r="B1" s="1"/>
      <c r="C1" s="1"/>
      <c r="E1"/>
      <c r="F1"/>
      <c r="G1"/>
      <c r="H1"/>
    </row>
    <row r="2" spans="1:8" ht="27.75" x14ac:dyDescent="0.25">
      <c r="A2" s="1"/>
      <c r="B2" s="1"/>
      <c r="C2" s="1"/>
      <c r="E2" s="138" t="s">
        <v>4</v>
      </c>
      <c r="F2" s="138"/>
      <c r="G2" s="138"/>
      <c r="H2" s="138"/>
    </row>
    <row r="3" spans="1:8" x14ac:dyDescent="0.25">
      <c r="A3" s="1"/>
      <c r="B3" s="1"/>
      <c r="C3" s="1"/>
      <c r="E3" s="14"/>
      <c r="F3" s="14"/>
      <c r="G3" s="14"/>
      <c r="H3" s="14"/>
    </row>
    <row r="4" spans="1:8" x14ac:dyDescent="0.25">
      <c r="A4" s="1"/>
      <c r="B4" s="1"/>
      <c r="C4" s="1"/>
      <c r="E4" s="15" t="s">
        <v>0</v>
      </c>
      <c r="F4" s="15" t="s">
        <v>1</v>
      </c>
      <c r="G4" s="15" t="s">
        <v>2</v>
      </c>
      <c r="H4" s="15" t="s">
        <v>3</v>
      </c>
    </row>
    <row r="5" spans="1:8" x14ac:dyDescent="0.25">
      <c r="A5" s="1"/>
      <c r="B5" s="1"/>
      <c r="C5" s="1"/>
      <c r="E5" s="3" t="s">
        <v>138</v>
      </c>
      <c r="F5" s="12" t="s">
        <v>139</v>
      </c>
      <c r="G5" s="12" t="s">
        <v>140</v>
      </c>
      <c r="H5" s="19" t="s">
        <v>209</v>
      </c>
    </row>
    <row r="6" spans="1:8" x14ac:dyDescent="0.25">
      <c r="A6" s="1"/>
      <c r="B6" s="1"/>
      <c r="C6" s="1"/>
      <c r="E6" s="3" t="s">
        <v>141</v>
      </c>
      <c r="F6" s="12" t="s">
        <v>210</v>
      </c>
      <c r="G6" s="12" t="s">
        <v>137</v>
      </c>
      <c r="H6" s="19" t="s">
        <v>211</v>
      </c>
    </row>
    <row r="7" spans="1:8" x14ac:dyDescent="0.25">
      <c r="E7" s="3" t="s">
        <v>212</v>
      </c>
      <c r="F7" s="3" t="s">
        <v>213</v>
      </c>
      <c r="G7" s="4" t="s">
        <v>12</v>
      </c>
      <c r="H7" s="19" t="s">
        <v>214</v>
      </c>
    </row>
    <row r="8" spans="1:8" x14ac:dyDescent="0.25">
      <c r="E8" s="3" t="s">
        <v>215</v>
      </c>
      <c r="F8" s="3" t="s">
        <v>216</v>
      </c>
      <c r="G8" s="4" t="s">
        <v>12</v>
      </c>
      <c r="H8" s="19" t="s">
        <v>217</v>
      </c>
    </row>
    <row r="9" spans="1:8" x14ac:dyDescent="0.25">
      <c r="E9" s="3"/>
      <c r="F9" s="3"/>
      <c r="G9" s="4"/>
      <c r="H9" s="19"/>
    </row>
    <row r="10" spans="1:8" x14ac:dyDescent="0.25">
      <c r="E10" s="3"/>
      <c r="F10" s="3"/>
      <c r="G10" s="4"/>
      <c r="H10" s="19"/>
    </row>
    <row r="11" spans="1:8" x14ac:dyDescent="0.25">
      <c r="E11" s="3"/>
      <c r="F11" s="3"/>
      <c r="G11" s="4"/>
      <c r="H11" s="19"/>
    </row>
    <row r="12" spans="1:8" x14ac:dyDescent="0.25">
      <c r="E12" s="3"/>
      <c r="F12" s="3"/>
      <c r="G12" s="4"/>
      <c r="H12" s="19"/>
    </row>
  </sheetData>
  <mergeCells count="1">
    <mergeCell ref="E2:H2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7"/>
  <sheetViews>
    <sheetView workbookViewId="0">
      <selection activeCell="G9" sqref="G9"/>
    </sheetView>
  </sheetViews>
  <sheetFormatPr defaultRowHeight="15" x14ac:dyDescent="0.25"/>
  <cols>
    <col min="1" max="3" width="15.7109375" customWidth="1"/>
    <col min="4" max="4" width="3.5703125" customWidth="1"/>
    <col min="5" max="5" width="15.42578125" style="11" bestFit="1" customWidth="1"/>
    <col min="6" max="6" width="19.5703125" style="11" bestFit="1" customWidth="1"/>
    <col min="7" max="7" width="10.140625" style="11" bestFit="1" customWidth="1"/>
    <col min="8" max="8" width="13.140625" style="11" bestFit="1" customWidth="1"/>
  </cols>
  <sheetData>
    <row r="1" spans="1:8" x14ac:dyDescent="0.25">
      <c r="A1" s="1"/>
      <c r="B1" s="1"/>
      <c r="C1" s="1"/>
      <c r="E1"/>
      <c r="F1"/>
      <c r="G1"/>
      <c r="H1"/>
    </row>
    <row r="2" spans="1:8" ht="27.75" x14ac:dyDescent="0.25">
      <c r="A2" s="1"/>
      <c r="B2" s="1"/>
      <c r="C2" s="1"/>
      <c r="E2" s="138" t="s">
        <v>5</v>
      </c>
      <c r="F2" s="138"/>
      <c r="G2" s="138"/>
      <c r="H2" s="138"/>
    </row>
    <row r="3" spans="1:8" x14ac:dyDescent="0.25">
      <c r="A3" s="1"/>
      <c r="B3" s="1"/>
      <c r="C3" s="1"/>
      <c r="E3" s="14"/>
      <c r="F3" s="14"/>
      <c r="G3" s="14"/>
      <c r="H3" s="14"/>
    </row>
    <row r="4" spans="1:8" x14ac:dyDescent="0.25">
      <c r="A4" s="1"/>
      <c r="B4" s="1"/>
      <c r="C4" s="1"/>
      <c r="E4" s="15" t="s">
        <v>6</v>
      </c>
      <c r="F4" s="15" t="s">
        <v>7</v>
      </c>
      <c r="G4" s="15" t="s">
        <v>8</v>
      </c>
      <c r="H4" s="15" t="s">
        <v>9</v>
      </c>
    </row>
    <row r="5" spans="1:8" x14ac:dyDescent="0.25">
      <c r="A5" s="1"/>
      <c r="B5" s="1"/>
      <c r="C5" s="1"/>
      <c r="E5" s="3" t="s">
        <v>10</v>
      </c>
      <c r="F5" s="3" t="s">
        <v>132</v>
      </c>
      <c r="G5" s="3" t="s">
        <v>11</v>
      </c>
      <c r="H5" s="3" t="s">
        <v>12</v>
      </c>
    </row>
    <row r="6" spans="1:8" x14ac:dyDescent="0.25">
      <c r="A6" s="1"/>
      <c r="B6" s="1"/>
      <c r="C6" s="1"/>
      <c r="E6" s="3" t="s">
        <v>13</v>
      </c>
      <c r="F6" s="3" t="s">
        <v>133</v>
      </c>
      <c r="G6" s="3" t="s">
        <v>134</v>
      </c>
      <c r="H6" s="3" t="s">
        <v>12</v>
      </c>
    </row>
    <row r="7" spans="1:8" x14ac:dyDescent="0.25">
      <c r="E7" s="11" t="s">
        <v>135</v>
      </c>
      <c r="F7" s="11" t="s">
        <v>136</v>
      </c>
      <c r="G7" s="11" t="s">
        <v>134</v>
      </c>
      <c r="H7" s="11" t="s">
        <v>137</v>
      </c>
    </row>
  </sheetData>
  <mergeCells count="1">
    <mergeCell ref="E2:H2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40"/>
  <sheetViews>
    <sheetView workbookViewId="0">
      <selection activeCell="N17" sqref="N17"/>
    </sheetView>
  </sheetViews>
  <sheetFormatPr defaultRowHeight="15" x14ac:dyDescent="0.25"/>
  <cols>
    <col min="1" max="3" width="15.7109375" customWidth="1"/>
    <col min="4" max="4" width="3.5703125" customWidth="1"/>
    <col min="5" max="5" width="15.42578125" style="11" bestFit="1" customWidth="1"/>
    <col min="6" max="6" width="18.85546875" style="16" bestFit="1" customWidth="1"/>
    <col min="7" max="7" width="20" style="28" bestFit="1" customWidth="1"/>
    <col min="8" max="8" width="11.28515625" style="30" bestFit="1" customWidth="1"/>
    <col min="9" max="9" width="15.28515625" style="86" bestFit="1" customWidth="1"/>
    <col min="10" max="10" width="14.42578125" style="111" bestFit="1" customWidth="1"/>
    <col min="11" max="11" width="16.140625" style="111" customWidth="1"/>
    <col min="12" max="12" width="18.85546875" style="86" bestFit="1" customWidth="1"/>
    <col min="13" max="13" width="13.85546875" style="112" bestFit="1" customWidth="1"/>
    <col min="14" max="14" width="14.7109375" style="112" bestFit="1" customWidth="1"/>
    <col min="15" max="15" width="11.7109375" bestFit="1" customWidth="1"/>
    <col min="16" max="16" width="15.28515625" bestFit="1" customWidth="1"/>
    <col min="17" max="17" width="14.42578125" bestFit="1" customWidth="1"/>
  </cols>
  <sheetData>
    <row r="1" spans="1:17" x14ac:dyDescent="0.25">
      <c r="A1" s="1"/>
      <c r="B1" s="1"/>
      <c r="C1" s="1"/>
      <c r="E1"/>
      <c r="F1"/>
      <c r="G1"/>
      <c r="H1"/>
      <c r="I1"/>
      <c r="J1"/>
      <c r="K1"/>
      <c r="L1"/>
      <c r="M1"/>
      <c r="N1"/>
    </row>
    <row r="2" spans="1:17" ht="28.5" x14ac:dyDescent="0.45">
      <c r="A2" s="1"/>
      <c r="B2" s="1"/>
      <c r="C2" s="1"/>
      <c r="E2" s="138" t="s">
        <v>20</v>
      </c>
      <c r="F2" s="138"/>
      <c r="G2" s="138"/>
      <c r="H2" s="138"/>
      <c r="I2" s="2"/>
      <c r="J2" s="2"/>
      <c r="K2"/>
      <c r="L2"/>
      <c r="M2"/>
      <c r="N2"/>
    </row>
    <row r="3" spans="1:17" x14ac:dyDescent="0.25">
      <c r="A3" s="1"/>
      <c r="B3" s="1"/>
      <c r="C3" s="1"/>
      <c r="E3" s="14"/>
      <c r="F3" s="14"/>
      <c r="G3" s="14"/>
      <c r="H3" s="14"/>
      <c r="I3"/>
      <c r="J3"/>
      <c r="K3"/>
      <c r="L3"/>
      <c r="M3"/>
      <c r="N3"/>
    </row>
    <row r="4" spans="1:17" x14ac:dyDescent="0.25">
      <c r="A4" s="1"/>
      <c r="B4" s="1"/>
      <c r="C4" s="1"/>
      <c r="E4" s="15" t="s">
        <v>14</v>
      </c>
      <c r="F4" s="15" t="s">
        <v>15</v>
      </c>
      <c r="G4" s="15" t="s">
        <v>18</v>
      </c>
      <c r="H4" s="15" t="s">
        <v>17</v>
      </c>
      <c r="I4" s="15" t="s">
        <v>16</v>
      </c>
      <c r="J4" s="15" t="s">
        <v>229</v>
      </c>
      <c r="K4" s="20"/>
      <c r="L4" s="115" t="s">
        <v>15</v>
      </c>
      <c r="M4" s="115" t="s">
        <v>14</v>
      </c>
      <c r="N4" s="115" t="s">
        <v>18</v>
      </c>
      <c r="O4" s="115" t="s">
        <v>17</v>
      </c>
      <c r="P4" s="115" t="s">
        <v>16</v>
      </c>
      <c r="Q4" s="115" t="s">
        <v>229</v>
      </c>
    </row>
    <row r="5" spans="1:17" x14ac:dyDescent="0.25">
      <c r="A5" s="1"/>
      <c r="B5" s="121"/>
      <c r="C5" s="1"/>
      <c r="E5" s="11" t="s">
        <v>223</v>
      </c>
      <c r="F5" s="11" t="s">
        <v>54</v>
      </c>
      <c r="G5" s="5" t="s">
        <v>248</v>
      </c>
      <c r="H5" s="31" t="s">
        <v>52</v>
      </c>
      <c r="I5" s="114">
        <v>2000</v>
      </c>
      <c r="J5" s="114">
        <v>120000</v>
      </c>
      <c r="K5" s="20"/>
      <c r="L5" s="116" t="s">
        <v>54</v>
      </c>
      <c r="M5" s="116" t="s">
        <v>223</v>
      </c>
      <c r="N5" s="99" t="str">
        <f>G5</f>
        <v>10</v>
      </c>
      <c r="O5" s="117" t="s">
        <v>52</v>
      </c>
      <c r="P5" s="118">
        <f>I5</f>
        <v>2000</v>
      </c>
      <c r="Q5" s="118">
        <f>P5*N5</f>
        <v>20000</v>
      </c>
    </row>
    <row r="6" spans="1:17" x14ac:dyDescent="0.25">
      <c r="A6" s="1"/>
      <c r="B6" s="121"/>
      <c r="C6" s="1"/>
      <c r="E6" s="11" t="s">
        <v>224</v>
      </c>
      <c r="F6" s="11" t="s">
        <v>55</v>
      </c>
      <c r="G6" s="5" t="s">
        <v>249</v>
      </c>
      <c r="H6" s="31" t="s">
        <v>52</v>
      </c>
      <c r="I6" s="114">
        <v>200</v>
      </c>
      <c r="J6" s="114">
        <v>13000</v>
      </c>
      <c r="K6" s="20"/>
      <c r="L6" s="116" t="s">
        <v>55</v>
      </c>
      <c r="M6" s="116" t="s">
        <v>224</v>
      </c>
      <c r="N6" s="99" t="str">
        <f t="shared" ref="N6:N10" si="0">G6</f>
        <v>15</v>
      </c>
      <c r="O6" s="117" t="s">
        <v>52</v>
      </c>
      <c r="P6" s="118">
        <f t="shared" ref="P6:P10" si="1">I6</f>
        <v>200</v>
      </c>
      <c r="Q6" s="118">
        <f t="shared" ref="Q6:Q10" si="2">P6*N6</f>
        <v>3000</v>
      </c>
    </row>
    <row r="7" spans="1:17" x14ac:dyDescent="0.25">
      <c r="B7" s="65"/>
      <c r="E7" s="11" t="s">
        <v>225</v>
      </c>
      <c r="F7" s="11" t="s">
        <v>49</v>
      </c>
      <c r="G7" s="5" t="s">
        <v>221</v>
      </c>
      <c r="H7" s="31" t="s">
        <v>50</v>
      </c>
      <c r="I7" s="114">
        <v>150000</v>
      </c>
      <c r="J7" s="114">
        <v>300000</v>
      </c>
      <c r="K7" s="20"/>
      <c r="L7" s="116" t="s">
        <v>49</v>
      </c>
      <c r="M7" s="116" t="s">
        <v>225</v>
      </c>
      <c r="N7" s="99" t="str">
        <f t="shared" si="0"/>
        <v>2</v>
      </c>
      <c r="O7" s="117" t="s">
        <v>50</v>
      </c>
      <c r="P7" s="118">
        <f t="shared" si="1"/>
        <v>150000</v>
      </c>
      <c r="Q7" s="118">
        <f t="shared" si="2"/>
        <v>300000</v>
      </c>
    </row>
    <row r="8" spans="1:17" x14ac:dyDescent="0.25">
      <c r="B8" s="65"/>
      <c r="E8" s="11" t="s">
        <v>226</v>
      </c>
      <c r="F8" s="11" t="s">
        <v>131</v>
      </c>
      <c r="G8" s="5" t="s">
        <v>250</v>
      </c>
      <c r="H8" s="31" t="s">
        <v>50</v>
      </c>
      <c r="I8" s="114">
        <v>100000</v>
      </c>
      <c r="J8" s="114">
        <v>300000</v>
      </c>
      <c r="K8" s="20"/>
      <c r="L8" s="116" t="s">
        <v>131</v>
      </c>
      <c r="M8" s="116" t="s">
        <v>226</v>
      </c>
      <c r="N8" s="99" t="str">
        <f t="shared" si="0"/>
        <v>3</v>
      </c>
      <c r="O8" s="117" t="s">
        <v>50</v>
      </c>
      <c r="P8" s="118">
        <f t="shared" si="1"/>
        <v>100000</v>
      </c>
      <c r="Q8" s="118">
        <f t="shared" si="2"/>
        <v>300000</v>
      </c>
    </row>
    <row r="9" spans="1:17" x14ac:dyDescent="0.25">
      <c r="B9" s="65"/>
      <c r="E9" s="11" t="s">
        <v>227</v>
      </c>
      <c r="F9" s="11" t="s">
        <v>51</v>
      </c>
      <c r="G9" s="5" t="s">
        <v>251</v>
      </c>
      <c r="H9" s="31" t="s">
        <v>52</v>
      </c>
      <c r="I9" s="114">
        <v>1500</v>
      </c>
      <c r="J9" s="114">
        <v>12000</v>
      </c>
      <c r="K9" s="20"/>
      <c r="L9" s="116" t="s">
        <v>51</v>
      </c>
      <c r="M9" s="116" t="s">
        <v>227</v>
      </c>
      <c r="N9" s="99" t="str">
        <f t="shared" si="0"/>
        <v>8</v>
      </c>
      <c r="O9" s="117" t="s">
        <v>52</v>
      </c>
      <c r="P9" s="118">
        <f t="shared" si="1"/>
        <v>1500</v>
      </c>
      <c r="Q9" s="118">
        <f t="shared" si="2"/>
        <v>12000</v>
      </c>
    </row>
    <row r="10" spans="1:17" x14ac:dyDescent="0.25">
      <c r="B10" s="65"/>
      <c r="E10" s="11" t="s">
        <v>228</v>
      </c>
      <c r="F10" s="11" t="s">
        <v>53</v>
      </c>
      <c r="G10" s="28" t="s">
        <v>252</v>
      </c>
      <c r="H10" s="31" t="s">
        <v>52</v>
      </c>
      <c r="I10" s="114">
        <v>5000</v>
      </c>
      <c r="J10" s="114">
        <v>100000</v>
      </c>
      <c r="K10" s="20"/>
      <c r="L10" s="116" t="s">
        <v>53</v>
      </c>
      <c r="M10" s="116" t="s">
        <v>228</v>
      </c>
      <c r="N10" s="99" t="str">
        <f t="shared" si="0"/>
        <v>20</v>
      </c>
      <c r="O10" s="117" t="s">
        <v>52</v>
      </c>
      <c r="P10" s="118">
        <f t="shared" si="1"/>
        <v>5000</v>
      </c>
      <c r="Q10" s="118">
        <f t="shared" si="2"/>
        <v>100000</v>
      </c>
    </row>
    <row r="11" spans="1:17" x14ac:dyDescent="0.25">
      <c r="B11" s="65"/>
      <c r="F11" s="11"/>
      <c r="I11"/>
      <c r="J11"/>
      <c r="K11"/>
      <c r="L11"/>
      <c r="M11"/>
      <c r="N11"/>
    </row>
    <row r="12" spans="1:17" x14ac:dyDescent="0.25">
      <c r="B12" s="65"/>
      <c r="E12" s="11" t="s">
        <v>244</v>
      </c>
      <c r="F12" s="11" t="s">
        <v>183</v>
      </c>
      <c r="G12" s="28" t="str">
        <f>_xlfn.IFNA(VLOOKUP($G$13,$L$5:$Q$10,2,0),"-")</f>
        <v>BP-0002</v>
      </c>
      <c r="I12"/>
      <c r="J12"/>
      <c r="K12"/>
      <c r="L12"/>
      <c r="M12"/>
      <c r="N12"/>
    </row>
    <row r="13" spans="1:17" x14ac:dyDescent="0.25">
      <c r="B13" s="65"/>
      <c r="E13" s="11" t="s">
        <v>245</v>
      </c>
      <c r="F13" s="11" t="s">
        <v>183</v>
      </c>
      <c r="G13" s="28" t="s">
        <v>54</v>
      </c>
      <c r="I13"/>
      <c r="J13"/>
      <c r="K13"/>
      <c r="L13"/>
      <c r="M13"/>
      <c r="N13"/>
    </row>
    <row r="14" spans="1:17" x14ac:dyDescent="0.25">
      <c r="B14" s="65"/>
      <c r="F14" s="11"/>
      <c r="I14"/>
      <c r="J14"/>
      <c r="K14"/>
      <c r="L14"/>
      <c r="M14"/>
      <c r="N14"/>
    </row>
    <row r="15" spans="1:17" ht="32.25" customHeight="1" x14ac:dyDescent="0.25">
      <c r="B15" s="65"/>
      <c r="E15" s="109" t="s">
        <v>44</v>
      </c>
      <c r="F15" s="109" t="s">
        <v>38</v>
      </c>
      <c r="G15" s="109" t="s">
        <v>59</v>
      </c>
      <c r="H15" s="109" t="s">
        <v>14</v>
      </c>
      <c r="I15" s="110" t="s">
        <v>238</v>
      </c>
      <c r="J15" s="110" t="s">
        <v>239</v>
      </c>
      <c r="K15" s="110" t="s">
        <v>240</v>
      </c>
      <c r="L15" s="110" t="s">
        <v>241</v>
      </c>
      <c r="M15" s="109" t="s">
        <v>242</v>
      </c>
      <c r="N15" s="109" t="s">
        <v>243</v>
      </c>
    </row>
    <row r="16" spans="1:17" x14ac:dyDescent="0.25">
      <c r="B16" s="65"/>
      <c r="G16" s="28" t="s">
        <v>74</v>
      </c>
      <c r="H16" s="28" t="str">
        <f>$G$12</f>
        <v>BP-0002</v>
      </c>
      <c r="I16" s="86">
        <v>0</v>
      </c>
      <c r="J16" s="111">
        <v>0</v>
      </c>
      <c r="K16" s="111">
        <v>0</v>
      </c>
      <c r="L16" s="119" t="str">
        <f>_xlfn.IFNA(VLOOKUP($G$12,$E$5:$J$10,3,0),"-")</f>
        <v>10</v>
      </c>
      <c r="M16" s="112">
        <f>_xlfn.IFNA(VLOOKUP($G$12,$E$5:$J$10,5,0),"-")</f>
        <v>2000</v>
      </c>
      <c r="N16" s="112">
        <f>_xlfn.IFNA(VLOOKUP($G$12,$E$5:$J$10,6,0),"-")</f>
        <v>120000</v>
      </c>
    </row>
    <row r="17" spans="5:14" x14ac:dyDescent="0.25">
      <c r="E17" s="11" t="str">
        <f>IF($G$12='Harga Pokok Pembelian'!$M7,'Harga Pokok Pembelian'!J7,"-")</f>
        <v>-</v>
      </c>
      <c r="F17" s="12" t="str">
        <f>IF($G$12='Harga Pokok Pembelian'!$M7,'Harga Pokok Pembelian'!K7,"-")</f>
        <v>-</v>
      </c>
      <c r="G17" s="3" t="str">
        <f>IF($G$12='Harga Pokok Pembelian'!$M7,'Harga Pokok Pembelian'!L7,"-")</f>
        <v>-</v>
      </c>
      <c r="H17" s="3" t="str">
        <f>IF($G$12='Harga Pokok Pembelian'!$M7,'Harga Pokok Pembelian'!M7,"-")</f>
        <v>-</v>
      </c>
      <c r="I17" s="4" t="str">
        <f>IF($G$12='Harga Pokok Pembelian'!$M7,'Harga Pokok Pembelian'!Q7,"-")</f>
        <v>-</v>
      </c>
      <c r="J17" s="100" t="str">
        <f>IF($G$12='Harga Pokok Pembelian'!$M7,'Harga Pokok Pembelian'!R7,"-")</f>
        <v>-</v>
      </c>
      <c r="K17" s="100" t="str">
        <f>IF($G$12='Harga Pokok Pembelian'!$M7,'Harga Pokok Pembelian'!S7,"-")</f>
        <v>-</v>
      </c>
      <c r="L17" s="4" t="str">
        <f>IF($G$12='Harga Pokok Pembelian'!$M7,'Harga Pokok Pembelian'!T7,"-")</f>
        <v>-</v>
      </c>
      <c r="M17" s="120" t="str">
        <f>IF($G$12='Harga Pokok Pembelian'!$M7,'Harga Pokok Pembelian'!U7,"-")</f>
        <v>-</v>
      </c>
      <c r="N17" s="120" t="str">
        <f>IF($G$12='Harga Pokok Pembelian'!$M7,'Harga Pokok Pembelian'!V7,"-")</f>
        <v>-</v>
      </c>
    </row>
    <row r="18" spans="5:14" x14ac:dyDescent="0.25">
      <c r="E18" s="11" t="str">
        <f>IF($G$12='Harga Pokok Pembelian'!$M8,'Harga Pokok Pembelian'!J8,"-")</f>
        <v>-</v>
      </c>
      <c r="F18" s="12" t="str">
        <f>IF($G$12='Harga Pokok Pembelian'!$M8,'Harga Pokok Pembelian'!K8,"-")</f>
        <v>-</v>
      </c>
      <c r="G18" s="3" t="str">
        <f>IF($G$12='Harga Pokok Pembelian'!$M8,'Harga Pokok Pembelian'!L8,"-")</f>
        <v>-</v>
      </c>
      <c r="H18" s="3" t="str">
        <f>IF($G$12='Harga Pokok Pembelian'!$M8,'Harga Pokok Pembelian'!M8,"-")</f>
        <v>-</v>
      </c>
      <c r="I18" s="4" t="str">
        <f>IF($G$12='Harga Pokok Pembelian'!$M8,'Harga Pokok Pembelian'!Q8,"-")</f>
        <v>-</v>
      </c>
      <c r="J18" s="100" t="str">
        <f>IF($G$12='Harga Pokok Pembelian'!$M8,'Harga Pokok Pembelian'!R8,"-")</f>
        <v>-</v>
      </c>
      <c r="K18" s="100" t="str">
        <f>IF($G$12='Harga Pokok Pembelian'!$M8,'Harga Pokok Pembelian'!S8,"-")</f>
        <v>-</v>
      </c>
      <c r="L18" s="4" t="str">
        <f>IF($G$12='Harga Pokok Pembelian'!$M8,'Harga Pokok Pembelian'!T8,"-")</f>
        <v>-</v>
      </c>
      <c r="M18" s="120" t="str">
        <f>IF($G$12='Harga Pokok Pembelian'!$M8,'Harga Pokok Pembelian'!U8,"-")</f>
        <v>-</v>
      </c>
      <c r="N18" s="120" t="str">
        <f>IF($G$12='Harga Pokok Pembelian'!$M8,'Harga Pokok Pembelian'!V8,"-")</f>
        <v>-</v>
      </c>
    </row>
    <row r="19" spans="5:14" x14ac:dyDescent="0.25">
      <c r="E19" s="11" t="str">
        <f>IF($G$12='Harga Pokok Pembelian'!$M9,'Harga Pokok Pembelian'!J9,"-")</f>
        <v>-</v>
      </c>
      <c r="F19" s="12" t="str">
        <f>IF($G$12='Harga Pokok Pembelian'!$M9,'Harga Pokok Pembelian'!K9,"-")</f>
        <v>-</v>
      </c>
      <c r="G19" s="3" t="str">
        <f>IF($G$12='Harga Pokok Pembelian'!$M9,'Harga Pokok Pembelian'!L9,"-")</f>
        <v>-</v>
      </c>
      <c r="H19" s="3" t="str">
        <f>IF($G$12='Harga Pokok Pembelian'!$M9,'Harga Pokok Pembelian'!M9,"-")</f>
        <v>-</v>
      </c>
      <c r="I19" s="4" t="str">
        <f>IF($G$12='Harga Pokok Pembelian'!$M9,'Harga Pokok Pembelian'!Q9,"-")</f>
        <v>-</v>
      </c>
      <c r="J19" s="100" t="str">
        <f>IF($G$12='Harga Pokok Pembelian'!$M9,'Harga Pokok Pembelian'!R9,"-")</f>
        <v>-</v>
      </c>
      <c r="K19" s="100" t="str">
        <f>IF($G$12='Harga Pokok Pembelian'!$M9,'Harga Pokok Pembelian'!S9,"-")</f>
        <v>-</v>
      </c>
      <c r="L19" s="4" t="str">
        <f>IF($G$12='Harga Pokok Pembelian'!$M9,'Harga Pokok Pembelian'!T9,"-")</f>
        <v>-</v>
      </c>
      <c r="M19" s="113" t="str">
        <f>IF($G$12='Harga Pokok Pembelian'!$M9,'Harga Pokok Pembelian'!U9,"-")</f>
        <v>-</v>
      </c>
      <c r="N19" s="113" t="str">
        <f>IF($G$12='Harga Pokok Pembelian'!$M9,'Harga Pokok Pembelian'!V9,"-")</f>
        <v>-</v>
      </c>
    </row>
    <row r="20" spans="5:14" x14ac:dyDescent="0.25">
      <c r="E20" s="11" t="str">
        <f>IF($G$12='Harga Pokok Pembelian'!$M10,'Harga Pokok Pembelian'!J10,"-")</f>
        <v>-</v>
      </c>
      <c r="F20" s="12" t="str">
        <f>IF($G$12='Harga Pokok Pembelian'!$M10,'Harga Pokok Pembelian'!K10,"-")</f>
        <v>-</v>
      </c>
      <c r="G20" s="3" t="str">
        <f>IF($G$12='Harga Pokok Pembelian'!$M10,'Harga Pokok Pembelian'!L10,"-")</f>
        <v>-</v>
      </c>
      <c r="H20" s="3" t="str">
        <f>IF($G$12='Harga Pokok Pembelian'!$M10,'Harga Pokok Pembelian'!M10,"-")</f>
        <v>-</v>
      </c>
      <c r="I20" s="4" t="str">
        <f>IF($G$12='Harga Pokok Pembelian'!$M10,'Harga Pokok Pembelian'!Q10,"-")</f>
        <v>-</v>
      </c>
      <c r="J20" s="100" t="str">
        <f>IF($G$12='Harga Pokok Pembelian'!$M10,'Harga Pokok Pembelian'!R10,"-")</f>
        <v>-</v>
      </c>
      <c r="K20" s="100" t="str">
        <f>IF($G$12='Harga Pokok Pembelian'!$M10,'Harga Pokok Pembelian'!S10,"-")</f>
        <v>-</v>
      </c>
      <c r="L20" s="4" t="str">
        <f>IF($G$12='Harga Pokok Pembelian'!$M10,'Harga Pokok Pembelian'!T10,"-")</f>
        <v>-</v>
      </c>
      <c r="M20" s="113" t="str">
        <f>IF($G$12='Harga Pokok Pembelian'!$M10,'Harga Pokok Pembelian'!U10,"-")</f>
        <v>-</v>
      </c>
      <c r="N20" s="113" t="str">
        <f>IF($G$12='Harga Pokok Pembelian'!$M10,'Harga Pokok Pembelian'!V10,"-")</f>
        <v>-</v>
      </c>
    </row>
    <row r="21" spans="5:14" x14ac:dyDescent="0.25">
      <c r="E21" s="11" t="str">
        <f>IF($G$12='Harga Pokok Pembelian'!$M11,'Harga Pokok Pembelian'!J11,"-")</f>
        <v>-</v>
      </c>
      <c r="F21" s="12" t="str">
        <f>IF($G$12='Harga Pokok Pembelian'!$M11,'Harga Pokok Pembelian'!K11,"-")</f>
        <v>-</v>
      </c>
      <c r="G21" s="3" t="str">
        <f>IF($G$12='Harga Pokok Pembelian'!$M11,'Harga Pokok Pembelian'!L11,"-")</f>
        <v>-</v>
      </c>
      <c r="H21" s="3" t="str">
        <f>IF($G$12='Harga Pokok Pembelian'!$M11,'Harga Pokok Pembelian'!M11,"-")</f>
        <v>-</v>
      </c>
      <c r="I21" s="4" t="str">
        <f>IF($G$12='Harga Pokok Pembelian'!$M11,'Harga Pokok Pembelian'!Q11,"-")</f>
        <v>-</v>
      </c>
      <c r="J21" s="100" t="str">
        <f>IF($G$12='Harga Pokok Pembelian'!$M11,'Harga Pokok Pembelian'!R11,"-")</f>
        <v>-</v>
      </c>
      <c r="K21" s="100" t="str">
        <f>IF($G$12='Harga Pokok Pembelian'!$M11,'Harga Pokok Pembelian'!S11,"-")</f>
        <v>-</v>
      </c>
      <c r="L21" s="4" t="str">
        <f>IF($G$12='Harga Pokok Pembelian'!$M11,'Harga Pokok Pembelian'!T11,"-")</f>
        <v>-</v>
      </c>
      <c r="M21" s="113" t="str">
        <f>IF($G$12='Harga Pokok Pembelian'!$M11,'Harga Pokok Pembelian'!U11,"-")</f>
        <v>-</v>
      </c>
      <c r="N21" s="113" t="str">
        <f>IF($G$12='Harga Pokok Pembelian'!$M11,'Harga Pokok Pembelian'!V11,"-")</f>
        <v>-</v>
      </c>
    </row>
    <row r="22" spans="5:14" x14ac:dyDescent="0.25">
      <c r="E22" s="11" t="str">
        <f>IF($G$12='Harga Pokok Pembelian'!$M12,'Harga Pokok Pembelian'!J12,"-")</f>
        <v>-</v>
      </c>
      <c r="F22" s="12" t="str">
        <f>IF($G$12='Harga Pokok Pembelian'!$M12,'Harga Pokok Pembelian'!K12,"-")</f>
        <v>-</v>
      </c>
      <c r="G22" s="3" t="str">
        <f>IF($G$12='Harga Pokok Pembelian'!$M12,'Harga Pokok Pembelian'!L12,"-")</f>
        <v>-</v>
      </c>
      <c r="H22" s="3" t="str">
        <f>IF($G$12='Harga Pokok Pembelian'!$M12,'Harga Pokok Pembelian'!M12,"-")</f>
        <v>-</v>
      </c>
      <c r="I22" s="4" t="str">
        <f>IF($G$12='Harga Pokok Pembelian'!$M12,'Harga Pokok Pembelian'!Q12,"-")</f>
        <v>-</v>
      </c>
      <c r="J22" s="100" t="str">
        <f>IF($G$12='Harga Pokok Pembelian'!$M12,'Harga Pokok Pembelian'!R12,"-")</f>
        <v>-</v>
      </c>
      <c r="K22" s="100" t="str">
        <f>IF($G$12='Harga Pokok Pembelian'!$M12,'Harga Pokok Pembelian'!S12,"-")</f>
        <v>-</v>
      </c>
      <c r="L22" s="4" t="str">
        <f>IF($G$12='Harga Pokok Pembelian'!$M12,'Harga Pokok Pembelian'!T12,"-")</f>
        <v>-</v>
      </c>
      <c r="M22" s="113" t="str">
        <f>IF($G$12='Harga Pokok Pembelian'!$M12,'Harga Pokok Pembelian'!U12,"-")</f>
        <v>-</v>
      </c>
      <c r="N22" s="113" t="str">
        <f>IF($G$12='Harga Pokok Pembelian'!$M12,'Harga Pokok Pembelian'!V12,"-")</f>
        <v>-</v>
      </c>
    </row>
    <row r="23" spans="5:14" x14ac:dyDescent="0.25">
      <c r="E23" s="11" t="str">
        <f>IF($G$12='Harga Pokok Pembelian'!$M13,'Harga Pokok Pembelian'!J13,"-")</f>
        <v>-</v>
      </c>
      <c r="F23" s="12" t="str">
        <f>IF($G$12='Harga Pokok Pembelian'!$M13,'Harga Pokok Pembelian'!K13,"-")</f>
        <v>-</v>
      </c>
      <c r="G23" s="3" t="str">
        <f>IF($G$12='Harga Pokok Pembelian'!$M13,'Harga Pokok Pembelian'!L13,"-")</f>
        <v>-</v>
      </c>
      <c r="H23" s="3" t="str">
        <f>IF($G$12='Harga Pokok Pembelian'!$M13,'Harga Pokok Pembelian'!M13,"-")</f>
        <v>-</v>
      </c>
      <c r="I23" s="4" t="str">
        <f>IF($G$12='Harga Pokok Pembelian'!$M13,'Harga Pokok Pembelian'!Q13,"-")</f>
        <v>-</v>
      </c>
      <c r="J23" s="100" t="str">
        <f>IF($G$12='Harga Pokok Pembelian'!$M13,'Harga Pokok Pembelian'!R13,"-")</f>
        <v>-</v>
      </c>
      <c r="K23" s="100" t="str">
        <f>IF($G$12='Harga Pokok Pembelian'!$M13,'Harga Pokok Pembelian'!S13,"-")</f>
        <v>-</v>
      </c>
      <c r="L23" s="4" t="str">
        <f>IF($G$12='Harga Pokok Pembelian'!$M13,'Harga Pokok Pembelian'!T13,"-")</f>
        <v>-</v>
      </c>
      <c r="M23" s="113" t="str">
        <f>IF($G$12='Harga Pokok Pembelian'!$M13,'Harga Pokok Pembelian'!U13,"-")</f>
        <v>-</v>
      </c>
      <c r="N23" s="113" t="str">
        <f>IF($G$12='Harga Pokok Pembelian'!$M13,'Harga Pokok Pembelian'!V13,"-")</f>
        <v>-</v>
      </c>
    </row>
    <row r="24" spans="5:14" x14ac:dyDescent="0.25">
      <c r="E24" s="11" t="str">
        <f>IF($G$12='Harga Pokok Pembelian'!$M14,'Harga Pokok Pembelian'!J14,"-")</f>
        <v>-</v>
      </c>
      <c r="F24" s="12" t="str">
        <f>IF($G$12='Harga Pokok Pembelian'!$M14,'Harga Pokok Pembelian'!K14,"-")</f>
        <v>-</v>
      </c>
      <c r="G24" s="3" t="str">
        <f>IF($G$12='Harga Pokok Pembelian'!$M14,'Harga Pokok Pembelian'!L14,"-")</f>
        <v>-</v>
      </c>
      <c r="H24" s="3" t="str">
        <f>IF($G$12='Harga Pokok Pembelian'!$M14,'Harga Pokok Pembelian'!M14,"-")</f>
        <v>-</v>
      </c>
      <c r="I24" s="4" t="str">
        <f>IF($G$12='Harga Pokok Pembelian'!$M14,'Harga Pokok Pembelian'!Q14,"-")</f>
        <v>-</v>
      </c>
      <c r="J24" s="100" t="str">
        <f>IF($G$12='Harga Pokok Pembelian'!$M14,'Harga Pokok Pembelian'!R14,"-")</f>
        <v>-</v>
      </c>
      <c r="K24" s="100" t="str">
        <f>IF($G$12='Harga Pokok Pembelian'!$M14,'Harga Pokok Pembelian'!S14,"-")</f>
        <v>-</v>
      </c>
      <c r="L24" s="4" t="str">
        <f>IF($G$12='Harga Pokok Pembelian'!$M14,'Harga Pokok Pembelian'!T14,"-")</f>
        <v>-</v>
      </c>
      <c r="M24" s="113" t="str">
        <f>IF($G$12='Harga Pokok Pembelian'!$M14,'Harga Pokok Pembelian'!U14,"-")</f>
        <v>-</v>
      </c>
      <c r="N24" s="113" t="str">
        <f>IF($G$12='Harga Pokok Pembelian'!$M14,'Harga Pokok Pembelian'!V14,"-")</f>
        <v>-</v>
      </c>
    </row>
    <row r="25" spans="5:14" x14ac:dyDescent="0.25">
      <c r="E25" s="11" t="str">
        <f>IF($G$12='Harga Pokok Pembelian'!$M15,'Harga Pokok Pembelian'!J15,"-")</f>
        <v>-</v>
      </c>
      <c r="F25" s="12" t="str">
        <f>IF($G$12='Harga Pokok Pembelian'!$M15,'Harga Pokok Pembelian'!K15,"-")</f>
        <v>-</v>
      </c>
      <c r="G25" s="3" t="str">
        <f>IF($G$12='Harga Pokok Pembelian'!$M15,'Harga Pokok Pembelian'!L15,"-")</f>
        <v>-</v>
      </c>
      <c r="H25" s="3" t="str">
        <f>IF($G$12='Harga Pokok Pembelian'!$M15,'Harga Pokok Pembelian'!M15,"-")</f>
        <v>-</v>
      </c>
      <c r="I25" s="4" t="str">
        <f>IF($G$12='Harga Pokok Pembelian'!$M15,'Harga Pokok Pembelian'!Q15,"-")</f>
        <v>-</v>
      </c>
      <c r="J25" s="100" t="str">
        <f>IF($G$12='Harga Pokok Pembelian'!$M15,'Harga Pokok Pembelian'!R15,"-")</f>
        <v>-</v>
      </c>
      <c r="K25" s="100" t="str">
        <f>IF($G$12='Harga Pokok Pembelian'!$M15,'Harga Pokok Pembelian'!S15,"-")</f>
        <v>-</v>
      </c>
      <c r="L25" s="4" t="str">
        <f>IF($G$12='Harga Pokok Pembelian'!$M15,'Harga Pokok Pembelian'!T15,"-")</f>
        <v>-</v>
      </c>
      <c r="M25" s="113" t="str">
        <f>IF($G$12='Harga Pokok Pembelian'!$M15,'Harga Pokok Pembelian'!U15,"-")</f>
        <v>-</v>
      </c>
      <c r="N25" s="113" t="str">
        <f>IF($G$12='Harga Pokok Pembelian'!$M15,'Harga Pokok Pembelian'!V15,"-")</f>
        <v>-</v>
      </c>
    </row>
    <row r="26" spans="5:14" x14ac:dyDescent="0.25">
      <c r="E26" s="11" t="str">
        <f>IF($G$12='Harga Pokok Pembelian'!$M16,'Harga Pokok Pembelian'!J16,"-")</f>
        <v>-</v>
      </c>
      <c r="F26" s="12" t="str">
        <f>IF($G$12='Harga Pokok Pembelian'!$M16,'Harga Pokok Pembelian'!K16,"-")</f>
        <v>-</v>
      </c>
      <c r="G26" s="3" t="str">
        <f>IF($G$12='Harga Pokok Pembelian'!$M16,'Harga Pokok Pembelian'!L16,"-")</f>
        <v>-</v>
      </c>
      <c r="H26" s="3" t="str">
        <f>IF($G$12='Harga Pokok Pembelian'!$M16,'Harga Pokok Pembelian'!M16,"-")</f>
        <v>-</v>
      </c>
      <c r="I26" s="4" t="str">
        <f>IF($G$12='Harga Pokok Pembelian'!$M16,'Harga Pokok Pembelian'!Q16,"-")</f>
        <v>-</v>
      </c>
      <c r="J26" s="100" t="str">
        <f>IF($G$12='Harga Pokok Pembelian'!$M16,'Harga Pokok Pembelian'!R16,"-")</f>
        <v>-</v>
      </c>
      <c r="K26" s="100" t="str">
        <f>IF($G$12='Harga Pokok Pembelian'!$M16,'Harga Pokok Pembelian'!S16,"-")</f>
        <v>-</v>
      </c>
      <c r="L26" s="4" t="str">
        <f>IF($G$12='Harga Pokok Pembelian'!$M16,'Harga Pokok Pembelian'!T16,"-")</f>
        <v>-</v>
      </c>
      <c r="M26" s="113" t="str">
        <f>IF($G$12='Harga Pokok Pembelian'!$M16,'Harga Pokok Pembelian'!U16,"-")</f>
        <v>-</v>
      </c>
      <c r="N26" s="113" t="str">
        <f>IF($G$12='Harga Pokok Pembelian'!$M16,'Harga Pokok Pembelian'!V16,"-")</f>
        <v>-</v>
      </c>
    </row>
    <row r="27" spans="5:14" x14ac:dyDescent="0.25">
      <c r="E27" s="11" t="str">
        <f>IF($G$12='Harga Pokok Pembelian'!$M17,'Harga Pokok Pembelian'!J17,"-")</f>
        <v>-</v>
      </c>
      <c r="F27" s="12" t="str">
        <f>IF($G$12='Harga Pokok Pembelian'!$M17,'Harga Pokok Pembelian'!K17,"-")</f>
        <v>-</v>
      </c>
      <c r="G27" s="3" t="str">
        <f>IF($G$12='Harga Pokok Pembelian'!$M17,'Harga Pokok Pembelian'!L17,"-")</f>
        <v>-</v>
      </c>
      <c r="H27" s="3" t="str">
        <f>IF($G$12='Harga Pokok Pembelian'!$M17,'Harga Pokok Pembelian'!M17,"-")</f>
        <v>-</v>
      </c>
      <c r="I27" s="4" t="str">
        <f>IF($G$12='Harga Pokok Pembelian'!$M17,'Harga Pokok Pembelian'!Q17,"-")</f>
        <v>-</v>
      </c>
      <c r="J27" s="100" t="str">
        <f>IF($G$12='Harga Pokok Pembelian'!$M17,'Harga Pokok Pembelian'!R17,"-")</f>
        <v>-</v>
      </c>
      <c r="K27" s="100" t="str">
        <f>IF($G$12='Harga Pokok Pembelian'!$M17,'Harga Pokok Pembelian'!S17,"-")</f>
        <v>-</v>
      </c>
      <c r="L27" s="4" t="str">
        <f>IF($G$12='Harga Pokok Pembelian'!$M17,'Harga Pokok Pembelian'!T17,"-")</f>
        <v>-</v>
      </c>
      <c r="M27" s="113" t="str">
        <f>IF($G$12='Harga Pokok Pembelian'!$M17,'Harga Pokok Pembelian'!U17,"-")</f>
        <v>-</v>
      </c>
      <c r="N27" s="113" t="str">
        <f>IF($G$12='Harga Pokok Pembelian'!$M17,'Harga Pokok Pembelian'!V17,"-")</f>
        <v>-</v>
      </c>
    </row>
    <row r="28" spans="5:14" x14ac:dyDescent="0.25">
      <c r="E28" s="11" t="str">
        <f>IF($G$12='Harga Pokok Pembelian'!$M18,'Harga Pokok Pembelian'!J18,"-")</f>
        <v>-</v>
      </c>
      <c r="F28" s="12" t="str">
        <f>IF($G$12='Harga Pokok Pembelian'!$M18,'Harga Pokok Pembelian'!K18,"-")</f>
        <v>-</v>
      </c>
      <c r="G28" s="3" t="str">
        <f>IF($G$12='Harga Pokok Pembelian'!$M18,'Harga Pokok Pembelian'!L18,"-")</f>
        <v>-</v>
      </c>
      <c r="H28" s="3" t="str">
        <f>IF($G$12='Harga Pokok Pembelian'!$M18,'Harga Pokok Pembelian'!M18,"-")</f>
        <v>-</v>
      </c>
      <c r="I28" s="4" t="str">
        <f>IF($G$12='Harga Pokok Pembelian'!$M18,'Harga Pokok Pembelian'!Q18,"-")</f>
        <v>-</v>
      </c>
      <c r="J28" s="100" t="str">
        <f>IF($G$12='Harga Pokok Pembelian'!$M18,'Harga Pokok Pembelian'!R18,"-")</f>
        <v>-</v>
      </c>
      <c r="K28" s="100" t="str">
        <f>IF($G$12='Harga Pokok Pembelian'!$M18,'Harga Pokok Pembelian'!S18,"-")</f>
        <v>-</v>
      </c>
      <c r="L28" s="4" t="str">
        <f>IF($G$12='Harga Pokok Pembelian'!$M18,'Harga Pokok Pembelian'!T18,"-")</f>
        <v>-</v>
      </c>
      <c r="M28" s="113" t="str">
        <f>IF($G$12='Harga Pokok Pembelian'!$M18,'Harga Pokok Pembelian'!U18,"-")</f>
        <v>-</v>
      </c>
      <c r="N28" s="113" t="str">
        <f>IF($G$12='Harga Pokok Pembelian'!$M18,'Harga Pokok Pembelian'!V18,"-")</f>
        <v>-</v>
      </c>
    </row>
    <row r="29" spans="5:14" x14ac:dyDescent="0.25">
      <c r="E29" s="11" t="str">
        <f>IF($G$12='Harga Pokok Pembelian'!$M19,'Harga Pokok Pembelian'!J19,"-")</f>
        <v>-</v>
      </c>
      <c r="F29" s="12" t="str">
        <f>IF($G$12='Harga Pokok Pembelian'!$M19,'Harga Pokok Pembelian'!K19,"-")</f>
        <v>-</v>
      </c>
      <c r="G29" s="3" t="str">
        <f>IF($G$12='Harga Pokok Pembelian'!$M19,'Harga Pokok Pembelian'!L19,"-")</f>
        <v>-</v>
      </c>
      <c r="H29" s="3" t="str">
        <f>IF($G$12='Harga Pokok Pembelian'!$M19,'Harga Pokok Pembelian'!M19,"-")</f>
        <v>-</v>
      </c>
      <c r="I29" s="4" t="str">
        <f>IF($G$12='Harga Pokok Pembelian'!$M19,'Harga Pokok Pembelian'!Q19,"-")</f>
        <v>-</v>
      </c>
      <c r="J29" s="100" t="str">
        <f>IF($G$12='Harga Pokok Pembelian'!$M19,'Harga Pokok Pembelian'!R19,"-")</f>
        <v>-</v>
      </c>
      <c r="K29" s="100" t="str">
        <f>IF($G$12='Harga Pokok Pembelian'!$M19,'Harga Pokok Pembelian'!S19,"-")</f>
        <v>-</v>
      </c>
      <c r="L29" s="4" t="str">
        <f>IF($G$12='Harga Pokok Pembelian'!$M19,'Harga Pokok Pembelian'!T19,"-")</f>
        <v>-</v>
      </c>
      <c r="M29" s="113" t="str">
        <f>IF($G$12='Harga Pokok Pembelian'!$M19,'Harga Pokok Pembelian'!U19,"-")</f>
        <v>-</v>
      </c>
      <c r="N29" s="113" t="str">
        <f>IF($G$12='Harga Pokok Pembelian'!$M19,'Harga Pokok Pembelian'!V19,"-")</f>
        <v>-</v>
      </c>
    </row>
    <row r="30" spans="5:14" x14ac:dyDescent="0.25">
      <c r="E30" s="11" t="str">
        <f>IF($G$12='Harga Pokok Pembelian'!$M20,'Harga Pokok Pembelian'!J20,"-")</f>
        <v>-</v>
      </c>
      <c r="F30" s="12" t="str">
        <f>IF($G$12='Harga Pokok Pembelian'!$M20,'Harga Pokok Pembelian'!K20,"-")</f>
        <v>-</v>
      </c>
      <c r="G30" s="3" t="str">
        <f>IF($G$12='Harga Pokok Pembelian'!$M20,'Harga Pokok Pembelian'!L20,"-")</f>
        <v>-</v>
      </c>
      <c r="H30" s="3" t="str">
        <f>IF($G$12='Harga Pokok Pembelian'!$M20,'Harga Pokok Pembelian'!M20,"-")</f>
        <v>-</v>
      </c>
      <c r="I30" s="4" t="str">
        <f>IF($G$12='Harga Pokok Pembelian'!$M20,'Harga Pokok Pembelian'!Q20,"-")</f>
        <v>-</v>
      </c>
      <c r="J30" s="100" t="str">
        <f>IF($G$12='Harga Pokok Pembelian'!$M20,'Harga Pokok Pembelian'!R20,"-")</f>
        <v>-</v>
      </c>
      <c r="K30" s="100" t="str">
        <f>IF($G$12='Harga Pokok Pembelian'!$M20,'Harga Pokok Pembelian'!S20,"-")</f>
        <v>-</v>
      </c>
      <c r="L30" s="4" t="str">
        <f>IF($G$12='Harga Pokok Pembelian'!$M20,'Harga Pokok Pembelian'!T20,"-")</f>
        <v>-</v>
      </c>
      <c r="M30" s="113" t="str">
        <f>IF($G$12='Harga Pokok Pembelian'!$M20,'Harga Pokok Pembelian'!U20,"-")</f>
        <v>-</v>
      </c>
      <c r="N30" s="113" t="str">
        <f>IF($G$12='Harga Pokok Pembelian'!$M20,'Harga Pokok Pembelian'!V20,"-")</f>
        <v>-</v>
      </c>
    </row>
    <row r="31" spans="5:14" x14ac:dyDescent="0.25">
      <c r="E31" s="11" t="str">
        <f>IF($G$12='Harga Pokok Pembelian'!$M21,'Harga Pokok Pembelian'!J21,"-")</f>
        <v>-</v>
      </c>
      <c r="F31" s="12" t="str">
        <f>IF($G$12='Harga Pokok Pembelian'!$M21,'Harga Pokok Pembelian'!K21,"-")</f>
        <v>-</v>
      </c>
      <c r="G31" s="3" t="str">
        <f>IF($G$12='Harga Pokok Pembelian'!$M21,'Harga Pokok Pembelian'!L21,"-")</f>
        <v>-</v>
      </c>
      <c r="H31" s="3" t="str">
        <f>IF($G$12='Harga Pokok Pembelian'!$M21,'Harga Pokok Pembelian'!M21,"-")</f>
        <v>-</v>
      </c>
      <c r="I31" s="4" t="str">
        <f>IF($G$12='Harga Pokok Pembelian'!$M21,'Harga Pokok Pembelian'!Q21,"-")</f>
        <v>-</v>
      </c>
      <c r="J31" s="100" t="str">
        <f>IF($G$12='Harga Pokok Pembelian'!$M21,'Harga Pokok Pembelian'!R21,"-")</f>
        <v>-</v>
      </c>
      <c r="K31" s="100" t="str">
        <f>IF($G$12='Harga Pokok Pembelian'!$M21,'Harga Pokok Pembelian'!S21,"-")</f>
        <v>-</v>
      </c>
      <c r="L31" s="4" t="str">
        <f>IF($G$12='Harga Pokok Pembelian'!$M21,'Harga Pokok Pembelian'!T21,"-")</f>
        <v>-</v>
      </c>
      <c r="M31" s="113" t="str">
        <f>IF($G$12='Harga Pokok Pembelian'!$M21,'Harga Pokok Pembelian'!U21,"-")</f>
        <v>-</v>
      </c>
      <c r="N31" s="113" t="str">
        <f>IF($G$12='Harga Pokok Pembelian'!$M21,'Harga Pokok Pembelian'!V21,"-")</f>
        <v>-</v>
      </c>
    </row>
    <row r="32" spans="5:14" x14ac:dyDescent="0.25">
      <c r="E32" s="11" t="str">
        <f>IF($G$12='Harga Pokok Pembelian'!$M22,'Harga Pokok Pembelian'!J22,"-")</f>
        <v>-</v>
      </c>
      <c r="F32" s="12" t="str">
        <f>IF($G$12='Harga Pokok Pembelian'!$M22,'Harga Pokok Pembelian'!K22,"-")</f>
        <v>-</v>
      </c>
      <c r="G32" s="3" t="str">
        <f>IF($G$12='Harga Pokok Pembelian'!$M22,'Harga Pokok Pembelian'!L22,"-")</f>
        <v>-</v>
      </c>
      <c r="H32" s="3" t="str">
        <f>IF($G$12='Harga Pokok Pembelian'!$M22,'Harga Pokok Pembelian'!M22,"-")</f>
        <v>-</v>
      </c>
      <c r="I32" s="4" t="str">
        <f>IF($G$12='Harga Pokok Pembelian'!$M22,'Harga Pokok Pembelian'!Q22,"-")</f>
        <v>-</v>
      </c>
      <c r="J32" s="100" t="str">
        <f>IF($G$12='Harga Pokok Pembelian'!$M22,'Harga Pokok Pembelian'!R22,"-")</f>
        <v>-</v>
      </c>
      <c r="K32" s="100" t="str">
        <f>IF($G$12='Harga Pokok Pembelian'!$M22,'Harga Pokok Pembelian'!S22,"-")</f>
        <v>-</v>
      </c>
      <c r="L32" s="4" t="str">
        <f>IF($G$12='Harga Pokok Pembelian'!$M22,'Harga Pokok Pembelian'!T22,"-")</f>
        <v>-</v>
      </c>
      <c r="M32" s="113" t="str">
        <f>IF($G$12='Harga Pokok Pembelian'!$M22,'Harga Pokok Pembelian'!U22,"-")</f>
        <v>-</v>
      </c>
      <c r="N32" s="113" t="str">
        <f>IF($G$12='Harga Pokok Pembelian'!$M22,'Harga Pokok Pembelian'!V22,"-")</f>
        <v>-</v>
      </c>
    </row>
    <row r="33" spans="5:14" x14ac:dyDescent="0.25">
      <c r="E33" s="11" t="str">
        <f>IF($G$12='Harga Pokok Pembelian'!$M23,'Harga Pokok Pembelian'!J23,"-")</f>
        <v>-</v>
      </c>
      <c r="F33" s="12" t="str">
        <f>IF($G$12='Harga Pokok Pembelian'!$M23,'Harga Pokok Pembelian'!K23,"-")</f>
        <v>-</v>
      </c>
      <c r="G33" s="3" t="str">
        <f>IF($G$12='Harga Pokok Pembelian'!$M23,'Harga Pokok Pembelian'!L23,"-")</f>
        <v>-</v>
      </c>
      <c r="H33" s="3" t="str">
        <f>IF($G$12='Harga Pokok Pembelian'!$M23,'Harga Pokok Pembelian'!M23,"-")</f>
        <v>-</v>
      </c>
      <c r="I33" s="4" t="str">
        <f>IF($G$12='Harga Pokok Pembelian'!$M23,'Harga Pokok Pembelian'!Q23,"-")</f>
        <v>-</v>
      </c>
      <c r="J33" s="100" t="str">
        <f>IF($G$12='Harga Pokok Pembelian'!$M23,'Harga Pokok Pembelian'!R23,"-")</f>
        <v>-</v>
      </c>
      <c r="K33" s="100" t="str">
        <f>IF($G$12='Harga Pokok Pembelian'!$M23,'Harga Pokok Pembelian'!S23,"-")</f>
        <v>-</v>
      </c>
      <c r="L33" s="4" t="str">
        <f>IF($G$12='Harga Pokok Pembelian'!$M23,'Harga Pokok Pembelian'!T23,"-")</f>
        <v>-</v>
      </c>
      <c r="M33" s="113" t="str">
        <f>IF($G$12='Harga Pokok Pembelian'!$M23,'Harga Pokok Pembelian'!U23,"-")</f>
        <v>-</v>
      </c>
      <c r="N33" s="113" t="str">
        <f>IF($G$12='Harga Pokok Pembelian'!$M23,'Harga Pokok Pembelian'!V23,"-")</f>
        <v>-</v>
      </c>
    </row>
    <row r="34" spans="5:14" x14ac:dyDescent="0.25">
      <c r="E34" s="11" t="str">
        <f>IF($G$12='Harga Pokok Pembelian'!$M24,'Harga Pokok Pembelian'!J24,"-")</f>
        <v>-</v>
      </c>
      <c r="F34" s="12" t="str">
        <f>IF($G$12='Harga Pokok Pembelian'!$M24,'Harga Pokok Pembelian'!K24,"-")</f>
        <v>-</v>
      </c>
      <c r="G34" s="3" t="str">
        <f>IF($G$12='Harga Pokok Pembelian'!$M24,'Harga Pokok Pembelian'!L24,"-")</f>
        <v>-</v>
      </c>
      <c r="H34" s="3" t="str">
        <f>IF($G$12='Harga Pokok Pembelian'!$M24,'Harga Pokok Pembelian'!M24,"-")</f>
        <v>-</v>
      </c>
      <c r="I34" s="4" t="str">
        <f>IF($G$12='Harga Pokok Pembelian'!$M24,'Harga Pokok Pembelian'!Q24,"-")</f>
        <v>-</v>
      </c>
      <c r="J34" s="100" t="str">
        <f>IF($G$12='Harga Pokok Pembelian'!$M24,'Harga Pokok Pembelian'!R24,"-")</f>
        <v>-</v>
      </c>
      <c r="K34" s="100" t="str">
        <f>IF($G$12='Harga Pokok Pembelian'!$M24,'Harga Pokok Pembelian'!S24,"-")</f>
        <v>-</v>
      </c>
      <c r="L34" s="4" t="str">
        <f>IF($G$12='Harga Pokok Pembelian'!$M24,'Harga Pokok Pembelian'!T24,"-")</f>
        <v>-</v>
      </c>
      <c r="M34" s="113" t="str">
        <f>IF($G$12='Harga Pokok Pembelian'!$M24,'Harga Pokok Pembelian'!U24,"-")</f>
        <v>-</v>
      </c>
      <c r="N34" s="113" t="str">
        <f>IF($G$12='Harga Pokok Pembelian'!$M24,'Harga Pokok Pembelian'!V24,"-")</f>
        <v>-</v>
      </c>
    </row>
    <row r="35" spans="5:14" x14ac:dyDescent="0.25">
      <c r="E35" s="11" t="str">
        <f>IF($G$12='Harga Pokok Pembelian'!$M25,'Harga Pokok Pembelian'!J25,"-")</f>
        <v>-</v>
      </c>
      <c r="F35" s="12" t="str">
        <f>IF($G$12='Harga Pokok Pembelian'!$M25,'Harga Pokok Pembelian'!K25,"-")</f>
        <v>-</v>
      </c>
      <c r="G35" s="3" t="str">
        <f>IF($G$12='Harga Pokok Pembelian'!$M25,'Harga Pokok Pembelian'!L25,"-")</f>
        <v>-</v>
      </c>
      <c r="H35" s="3" t="str">
        <f>IF($G$12='Harga Pokok Pembelian'!$M25,'Harga Pokok Pembelian'!M25,"-")</f>
        <v>-</v>
      </c>
      <c r="I35" s="4" t="str">
        <f>IF($G$12='Harga Pokok Pembelian'!$M25,'Harga Pokok Pembelian'!Q25,"-")</f>
        <v>-</v>
      </c>
      <c r="J35" s="100" t="str">
        <f>IF($G$12='Harga Pokok Pembelian'!$M25,'Harga Pokok Pembelian'!R25,"-")</f>
        <v>-</v>
      </c>
      <c r="K35" s="100" t="str">
        <f>IF($G$12='Harga Pokok Pembelian'!$M25,'Harga Pokok Pembelian'!S25,"-")</f>
        <v>-</v>
      </c>
      <c r="L35" s="4" t="str">
        <f>IF($G$12='Harga Pokok Pembelian'!$M25,'Harga Pokok Pembelian'!T25,"-")</f>
        <v>-</v>
      </c>
      <c r="M35" s="113" t="str">
        <f>IF($G$12='Harga Pokok Pembelian'!$M25,'Harga Pokok Pembelian'!U25,"-")</f>
        <v>-</v>
      </c>
      <c r="N35" s="113" t="str">
        <f>IF($G$12='Harga Pokok Pembelian'!$M25,'Harga Pokok Pembelian'!V25,"-")</f>
        <v>-</v>
      </c>
    </row>
    <row r="36" spans="5:14" x14ac:dyDescent="0.25">
      <c r="E36" s="11" t="str">
        <f>IF($G$12='Harga Pokok Pembelian'!$M26,'Harga Pokok Pembelian'!J26,"-")</f>
        <v>-</v>
      </c>
      <c r="F36" s="12" t="str">
        <f>IF($G$12='Harga Pokok Pembelian'!$M26,'Harga Pokok Pembelian'!K26,"-")</f>
        <v>-</v>
      </c>
      <c r="G36" s="3" t="str">
        <f>IF($G$12='Harga Pokok Pembelian'!$M26,'Harga Pokok Pembelian'!L26,"-")</f>
        <v>-</v>
      </c>
      <c r="H36" s="3" t="str">
        <f>IF($G$12='Harga Pokok Pembelian'!$M26,'Harga Pokok Pembelian'!M26,"-")</f>
        <v>-</v>
      </c>
      <c r="I36" s="4" t="str">
        <f>IF($G$12='Harga Pokok Pembelian'!$M26,'Harga Pokok Pembelian'!Q26,"-")</f>
        <v>-</v>
      </c>
      <c r="J36" s="100" t="str">
        <f>IF($G$12='Harga Pokok Pembelian'!$M26,'Harga Pokok Pembelian'!R26,"-")</f>
        <v>-</v>
      </c>
      <c r="K36" s="100" t="str">
        <f>IF($G$12='Harga Pokok Pembelian'!$M26,'Harga Pokok Pembelian'!S26,"-")</f>
        <v>-</v>
      </c>
      <c r="L36" s="4" t="str">
        <f>IF($G$12='Harga Pokok Pembelian'!$M26,'Harga Pokok Pembelian'!T26,"-")</f>
        <v>-</v>
      </c>
      <c r="M36" s="113" t="str">
        <f>IF($G$12='Harga Pokok Pembelian'!$M26,'Harga Pokok Pembelian'!U26,"-")</f>
        <v>-</v>
      </c>
      <c r="N36" s="113" t="str">
        <f>IF($G$12='Harga Pokok Pembelian'!$M26,'Harga Pokok Pembelian'!V26,"-")</f>
        <v>-</v>
      </c>
    </row>
    <row r="37" spans="5:14" x14ac:dyDescent="0.25">
      <c r="E37" s="11" t="str">
        <f>IF($G$12='Harga Pokok Pembelian'!$M27,'Harga Pokok Pembelian'!J27,"-")</f>
        <v>-</v>
      </c>
      <c r="F37" s="12" t="str">
        <f>IF($G$12='Harga Pokok Pembelian'!$M27,'Harga Pokok Pembelian'!K27,"-")</f>
        <v>-</v>
      </c>
      <c r="G37" s="3" t="str">
        <f>IF($G$12='Harga Pokok Pembelian'!$M27,'Harga Pokok Pembelian'!L27,"-")</f>
        <v>-</v>
      </c>
      <c r="H37" s="3" t="str">
        <f>IF($G$12='Harga Pokok Pembelian'!$M27,'Harga Pokok Pembelian'!M27,"-")</f>
        <v>-</v>
      </c>
      <c r="I37" s="4" t="str">
        <f>IF($G$12='Harga Pokok Pembelian'!$M27,'Harga Pokok Pembelian'!Q27,"-")</f>
        <v>-</v>
      </c>
      <c r="J37" s="100" t="str">
        <f>IF($G$12='Harga Pokok Pembelian'!$M27,'Harga Pokok Pembelian'!R27,"-")</f>
        <v>-</v>
      </c>
      <c r="K37" s="100" t="str">
        <f>IF($G$12='Harga Pokok Pembelian'!$M27,'Harga Pokok Pembelian'!S27,"-")</f>
        <v>-</v>
      </c>
      <c r="L37" s="4" t="str">
        <f>IF($G$12='Harga Pokok Pembelian'!$M27,'Harga Pokok Pembelian'!T27,"-")</f>
        <v>-</v>
      </c>
      <c r="M37" s="113" t="str">
        <f>IF($G$12='Harga Pokok Pembelian'!$M27,'Harga Pokok Pembelian'!U27,"-")</f>
        <v>-</v>
      </c>
      <c r="N37" s="113" t="str">
        <f>IF($G$12='Harga Pokok Pembelian'!$M27,'Harga Pokok Pembelian'!V27,"-")</f>
        <v>-</v>
      </c>
    </row>
    <row r="38" spans="5:14" x14ac:dyDescent="0.25">
      <c r="E38" s="11" t="str">
        <f>IF($G$12='Harga Pokok Pembelian'!$M28,'Harga Pokok Pembelian'!J28,"-")</f>
        <v>-</v>
      </c>
      <c r="F38" s="12" t="str">
        <f>IF($G$12='Harga Pokok Pembelian'!$M28,'Harga Pokok Pembelian'!K28,"-")</f>
        <v>-</v>
      </c>
      <c r="G38" s="3" t="str">
        <f>IF($G$12='Harga Pokok Pembelian'!$M28,'Harga Pokok Pembelian'!L28,"-")</f>
        <v>-</v>
      </c>
      <c r="H38" s="3" t="str">
        <f>IF($G$12='Harga Pokok Pembelian'!$M28,'Harga Pokok Pembelian'!M28,"-")</f>
        <v>-</v>
      </c>
      <c r="I38" s="4" t="str">
        <f>IF($G$12='Harga Pokok Pembelian'!$M28,'Harga Pokok Pembelian'!Q28,"-")</f>
        <v>-</v>
      </c>
      <c r="J38" s="100" t="str">
        <f>IF($G$12='Harga Pokok Pembelian'!$M28,'Harga Pokok Pembelian'!R28,"-")</f>
        <v>-</v>
      </c>
      <c r="K38" s="100" t="str">
        <f>IF($G$12='Harga Pokok Pembelian'!$M28,'Harga Pokok Pembelian'!S28,"-")</f>
        <v>-</v>
      </c>
      <c r="L38" s="4" t="str">
        <f>IF($G$12='Harga Pokok Pembelian'!$M28,'Harga Pokok Pembelian'!T28,"-")</f>
        <v>-</v>
      </c>
      <c r="M38" s="113" t="str">
        <f>IF($G$12='Harga Pokok Pembelian'!$M28,'Harga Pokok Pembelian'!U28,"-")</f>
        <v>-</v>
      </c>
      <c r="N38" s="113" t="str">
        <f>IF($G$12='Harga Pokok Pembelian'!$M28,'Harga Pokok Pembelian'!V28,"-")</f>
        <v>-</v>
      </c>
    </row>
    <row r="39" spans="5:14" x14ac:dyDescent="0.25">
      <c r="E39" s="11" t="str">
        <f>IF($G$12='Harga Pokok Pembelian'!$M29,'Harga Pokok Pembelian'!J29,"-")</f>
        <v>-</v>
      </c>
      <c r="F39" s="12" t="str">
        <f>IF($G$12='Harga Pokok Pembelian'!$M29,'Harga Pokok Pembelian'!K29,"-")</f>
        <v>-</v>
      </c>
      <c r="G39" s="3" t="str">
        <f>IF($G$12='Harga Pokok Pembelian'!$M29,'Harga Pokok Pembelian'!L29,"-")</f>
        <v>-</v>
      </c>
      <c r="H39" s="3" t="str">
        <f>IF($G$12='Harga Pokok Pembelian'!$M29,'Harga Pokok Pembelian'!M29,"-")</f>
        <v>-</v>
      </c>
      <c r="I39" s="4" t="str">
        <f>IF($G$12='Harga Pokok Pembelian'!$M29,'Harga Pokok Pembelian'!Q29,"-")</f>
        <v>-</v>
      </c>
      <c r="J39" s="100" t="str">
        <f>IF($G$12='Harga Pokok Pembelian'!$M29,'Harga Pokok Pembelian'!R29,"-")</f>
        <v>-</v>
      </c>
      <c r="K39" s="100" t="str">
        <f>IF($G$12='Harga Pokok Pembelian'!$M29,'Harga Pokok Pembelian'!S29,"-")</f>
        <v>-</v>
      </c>
      <c r="L39" s="4" t="str">
        <f>IF($G$12='Harga Pokok Pembelian'!$M29,'Harga Pokok Pembelian'!T29,"-")</f>
        <v>-</v>
      </c>
      <c r="M39" s="113" t="str">
        <f>IF($G$12='Harga Pokok Pembelian'!$M29,'Harga Pokok Pembelian'!U29,"-")</f>
        <v>-</v>
      </c>
      <c r="N39" s="113" t="str">
        <f>IF($G$12='Harga Pokok Pembelian'!$M29,'Harga Pokok Pembelian'!V29,"-")</f>
        <v>-</v>
      </c>
    </row>
    <row r="40" spans="5:14" x14ac:dyDescent="0.25">
      <c r="E40" s="11" t="str">
        <f>IF($G$12='Harga Pokok Pembelian'!$M30,'Harga Pokok Pembelian'!J30,"-")</f>
        <v>-</v>
      </c>
      <c r="F40" s="12" t="str">
        <f>IF($G$12='Harga Pokok Pembelian'!$M30,'Harga Pokok Pembelian'!K30,"-")</f>
        <v>-</v>
      </c>
      <c r="G40" s="3" t="str">
        <f>IF($G$12='Harga Pokok Pembelian'!$M30,'Harga Pokok Pembelian'!L30,"-")</f>
        <v>-</v>
      </c>
      <c r="H40" s="3" t="str">
        <f>IF($G$12='Harga Pokok Pembelian'!$M30,'Harga Pokok Pembelian'!M30,"-")</f>
        <v>-</v>
      </c>
      <c r="I40" s="4" t="str">
        <f>IF($G$12='Harga Pokok Pembelian'!$M30,'Harga Pokok Pembelian'!Q30,"-")</f>
        <v>-</v>
      </c>
      <c r="J40" s="100" t="str">
        <f>IF($G$12='Harga Pokok Pembelian'!$M30,'Harga Pokok Pembelian'!R30,"-")</f>
        <v>-</v>
      </c>
      <c r="K40" s="100" t="str">
        <f>IF($G$12='Harga Pokok Pembelian'!$M30,'Harga Pokok Pembelian'!S30,"-")</f>
        <v>-</v>
      </c>
      <c r="L40" s="4" t="str">
        <f>IF($G$12='Harga Pokok Pembelian'!$M30,'Harga Pokok Pembelian'!T30,"-")</f>
        <v>-</v>
      </c>
      <c r="M40" s="113" t="str">
        <f>IF($G$12='Harga Pokok Pembelian'!$M30,'Harga Pokok Pembelian'!U30,"-")</f>
        <v>-</v>
      </c>
      <c r="N40" s="113" t="str">
        <f>IF($G$12='Harga Pokok Pembelian'!$M30,'Harga Pokok Pembelian'!V30,"-")</f>
        <v>-</v>
      </c>
    </row>
  </sheetData>
  <mergeCells count="1">
    <mergeCell ref="E2:H2"/>
  </mergeCells>
  <dataValidations count="1">
    <dataValidation type="list" allowBlank="1" showInputMessage="1" showErrorMessage="1" sqref="G13">
      <formula1>$F$5:$F$10</formula1>
    </dataValidation>
  </dataValidation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6"/>
  <sheetViews>
    <sheetView workbookViewId="0">
      <selection activeCell="E6" sqref="E6:H6"/>
    </sheetView>
  </sheetViews>
  <sheetFormatPr defaultRowHeight="15" x14ac:dyDescent="0.25"/>
  <cols>
    <col min="1" max="3" width="15.7109375" customWidth="1"/>
    <col min="4" max="4" width="3.5703125" customWidth="1"/>
    <col min="5" max="5" width="12.5703125" style="11" bestFit="1" customWidth="1"/>
    <col min="6" max="6" width="16.140625" style="11" bestFit="1" customWidth="1"/>
    <col min="7" max="7" width="16.42578125" style="11" bestFit="1" customWidth="1"/>
    <col min="8" max="8" width="7" style="11" bestFit="1" customWidth="1"/>
    <col min="9" max="9" width="9.28515625" bestFit="1" customWidth="1"/>
  </cols>
  <sheetData>
    <row r="1" spans="1:10" x14ac:dyDescent="0.25">
      <c r="A1" s="1"/>
      <c r="B1" s="1"/>
      <c r="C1" s="1"/>
      <c r="E1"/>
      <c r="F1"/>
      <c r="G1"/>
      <c r="H1"/>
    </row>
    <row r="2" spans="1:10" ht="28.5" x14ac:dyDescent="0.45">
      <c r="A2" s="1"/>
      <c r="B2" s="1"/>
      <c r="C2" s="1"/>
      <c r="E2" s="138" t="s">
        <v>21</v>
      </c>
      <c r="F2" s="138"/>
      <c r="G2" s="138"/>
      <c r="H2" s="138"/>
      <c r="I2" s="2"/>
      <c r="J2" s="2"/>
    </row>
    <row r="3" spans="1:10" x14ac:dyDescent="0.25">
      <c r="A3" s="1"/>
      <c r="B3" s="1"/>
      <c r="C3" s="1"/>
      <c r="E3" s="14"/>
      <c r="F3" s="14"/>
      <c r="G3" s="14"/>
      <c r="H3" s="14"/>
    </row>
    <row r="4" spans="1:10" x14ac:dyDescent="0.25">
      <c r="A4" s="1"/>
      <c r="B4" s="1"/>
      <c r="C4" s="1"/>
      <c r="E4" s="15" t="s">
        <v>22</v>
      </c>
      <c r="F4" s="15" t="s">
        <v>23</v>
      </c>
      <c r="G4" s="15" t="s">
        <v>24</v>
      </c>
      <c r="H4" s="15" t="s">
        <v>25</v>
      </c>
    </row>
    <row r="5" spans="1:10" x14ac:dyDescent="0.25">
      <c r="A5" s="1"/>
      <c r="B5" s="1"/>
      <c r="C5" s="1"/>
      <c r="E5" s="3" t="s">
        <v>67</v>
      </c>
      <c r="F5" s="12">
        <v>44228</v>
      </c>
      <c r="G5" s="12">
        <v>44255</v>
      </c>
      <c r="H5" s="3" t="s">
        <v>143</v>
      </c>
    </row>
    <row r="6" spans="1:10" x14ac:dyDescent="0.25">
      <c r="A6" s="1"/>
      <c r="B6" s="1"/>
      <c r="C6" s="1"/>
    </row>
  </sheetData>
  <mergeCells count="1">
    <mergeCell ref="E2:H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6"/>
  <sheetViews>
    <sheetView topLeftCell="B1" workbookViewId="0">
      <selection activeCell="G4" sqref="G4"/>
    </sheetView>
  </sheetViews>
  <sheetFormatPr defaultRowHeight="15" x14ac:dyDescent="0.25"/>
  <cols>
    <col min="1" max="3" width="15.7109375" customWidth="1"/>
    <col min="4" max="4" width="3.5703125" customWidth="1"/>
    <col min="5" max="5" width="12.140625" style="11" bestFit="1" customWidth="1"/>
    <col min="6" max="6" width="19.85546875" style="11" bestFit="1" customWidth="1"/>
    <col min="7" max="7" width="14.5703125" style="28" bestFit="1" customWidth="1"/>
    <col min="8" max="8" width="16.28515625" style="30" bestFit="1" customWidth="1"/>
    <col min="9" max="9" width="9.28515625" bestFit="1" customWidth="1"/>
  </cols>
  <sheetData>
    <row r="1" spans="1:10" x14ac:dyDescent="0.25">
      <c r="A1" s="1"/>
      <c r="B1" s="1"/>
      <c r="C1" s="1"/>
      <c r="E1"/>
      <c r="F1"/>
      <c r="G1"/>
      <c r="H1"/>
    </row>
    <row r="2" spans="1:10" ht="28.5" x14ac:dyDescent="0.45">
      <c r="A2" s="1"/>
      <c r="B2" s="1"/>
      <c r="C2" s="1"/>
      <c r="E2" s="138" t="s">
        <v>26</v>
      </c>
      <c r="F2" s="138"/>
      <c r="G2" s="138"/>
      <c r="H2" s="138"/>
      <c r="I2" s="2"/>
      <c r="J2" s="2"/>
    </row>
    <row r="3" spans="1:10" x14ac:dyDescent="0.25">
      <c r="A3" s="1"/>
      <c r="B3" s="1"/>
      <c r="C3" s="1"/>
      <c r="E3" s="14"/>
      <c r="F3" s="14"/>
      <c r="G3" s="14"/>
      <c r="H3" s="14"/>
    </row>
    <row r="4" spans="1:10" x14ac:dyDescent="0.25">
      <c r="A4" s="1"/>
      <c r="B4" s="1"/>
      <c r="C4" s="1"/>
      <c r="E4" s="15" t="s">
        <v>29</v>
      </c>
      <c r="F4" s="15" t="s">
        <v>28</v>
      </c>
      <c r="G4" s="15" t="s">
        <v>222</v>
      </c>
      <c r="H4" s="15" t="s">
        <v>27</v>
      </c>
      <c r="I4" s="15" t="s">
        <v>17</v>
      </c>
    </row>
    <row r="5" spans="1:10" x14ac:dyDescent="0.25">
      <c r="A5" s="1"/>
      <c r="B5" s="1"/>
      <c r="C5" s="1"/>
      <c r="E5" s="11" t="s">
        <v>218</v>
      </c>
      <c r="F5" s="16" t="s">
        <v>66</v>
      </c>
      <c r="G5" s="28" t="s">
        <v>219</v>
      </c>
      <c r="H5" s="29" t="s">
        <v>52</v>
      </c>
      <c r="I5">
        <v>50000</v>
      </c>
    </row>
    <row r="6" spans="1:10" x14ac:dyDescent="0.25">
      <c r="A6" s="1"/>
      <c r="B6" s="1"/>
      <c r="C6" s="1"/>
      <c r="E6" s="11" t="s">
        <v>220</v>
      </c>
      <c r="F6" s="16" t="s">
        <v>144</v>
      </c>
      <c r="G6" s="28" t="s">
        <v>221</v>
      </c>
      <c r="H6" s="29" t="s">
        <v>52</v>
      </c>
      <c r="I6">
        <v>35000</v>
      </c>
    </row>
  </sheetData>
  <mergeCells count="1">
    <mergeCell ref="E2:H2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6"/>
  <sheetViews>
    <sheetView topLeftCell="B1" workbookViewId="0">
      <selection activeCell="E6" sqref="E6"/>
    </sheetView>
  </sheetViews>
  <sheetFormatPr defaultRowHeight="15" x14ac:dyDescent="0.25"/>
  <cols>
    <col min="1" max="3" width="15.7109375" customWidth="1"/>
    <col min="4" max="4" width="3.5703125" customWidth="1"/>
    <col min="5" max="5" width="14" style="24" bestFit="1" customWidth="1"/>
    <col min="6" max="7" width="18.140625" style="24" bestFit="1" customWidth="1"/>
    <col min="8" max="8" width="12" style="24" bestFit="1" customWidth="1"/>
    <col min="9" max="9" width="14" style="25" bestFit="1" customWidth="1"/>
    <col min="10" max="10" width="9.140625" style="24"/>
  </cols>
  <sheetData>
    <row r="1" spans="1:10" x14ac:dyDescent="0.25">
      <c r="A1" s="1"/>
      <c r="B1" s="1"/>
      <c r="C1" s="1"/>
      <c r="E1"/>
      <c r="F1"/>
      <c r="G1"/>
      <c r="H1"/>
      <c r="I1"/>
      <c r="J1"/>
    </row>
    <row r="2" spans="1:10" ht="27.75" x14ac:dyDescent="0.25">
      <c r="A2" s="1"/>
      <c r="B2" s="1"/>
      <c r="C2" s="1"/>
      <c r="E2" s="138" t="s">
        <v>30</v>
      </c>
      <c r="F2" s="138"/>
      <c r="G2" s="138"/>
      <c r="H2" s="138"/>
      <c r="I2" s="138"/>
      <c r="J2" s="138"/>
    </row>
    <row r="3" spans="1:10" x14ac:dyDescent="0.25">
      <c r="A3" s="1"/>
      <c r="B3" s="1"/>
      <c r="C3" s="1"/>
      <c r="E3" s="14"/>
      <c r="F3" s="14"/>
      <c r="G3" s="14"/>
      <c r="H3" s="14"/>
      <c r="I3" s="14"/>
      <c r="J3" s="14"/>
    </row>
    <row r="4" spans="1:10" x14ac:dyDescent="0.25">
      <c r="A4" s="1"/>
      <c r="B4" s="1"/>
      <c r="C4" s="1"/>
      <c r="E4" s="13" t="s">
        <v>31</v>
      </c>
      <c r="F4" s="13" t="s">
        <v>32</v>
      </c>
      <c r="G4" s="13" t="s">
        <v>33</v>
      </c>
      <c r="H4" s="13" t="s">
        <v>18</v>
      </c>
      <c r="I4" s="13" t="s">
        <v>34</v>
      </c>
      <c r="J4" s="13" t="s">
        <v>35</v>
      </c>
    </row>
    <row r="5" spans="1:10" x14ac:dyDescent="0.25">
      <c r="A5" s="1"/>
      <c r="B5" s="1"/>
      <c r="C5" s="1"/>
      <c r="E5" s="17"/>
      <c r="F5" s="18"/>
      <c r="G5" s="17"/>
      <c r="H5" s="4"/>
      <c r="I5" s="5"/>
      <c r="J5" s="4"/>
    </row>
    <row r="6" spans="1:10" x14ac:dyDescent="0.25">
      <c r="A6" s="1"/>
      <c r="B6" s="1"/>
      <c r="C6" s="1"/>
      <c r="E6" s="17"/>
      <c r="F6" s="18"/>
      <c r="G6" s="17"/>
      <c r="H6" s="4"/>
      <c r="I6" s="5"/>
      <c r="J6" s="4"/>
    </row>
  </sheetData>
  <mergeCells count="1">
    <mergeCell ref="E2:J2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U5"/>
  <sheetViews>
    <sheetView workbookViewId="0">
      <selection activeCell="N6" sqref="N6"/>
    </sheetView>
  </sheetViews>
  <sheetFormatPr defaultRowHeight="15" x14ac:dyDescent="0.25"/>
  <cols>
    <col min="1" max="1" width="11.85546875" style="21" bestFit="1" customWidth="1"/>
    <col min="2" max="2" width="12.5703125" style="21" bestFit="1" customWidth="1"/>
    <col min="3" max="3" width="13.42578125" style="21" bestFit="1" customWidth="1"/>
    <col min="4" max="4" width="17.5703125" style="21" bestFit="1" customWidth="1"/>
    <col min="5" max="5" width="9.5703125" style="21" bestFit="1" customWidth="1"/>
    <col min="6" max="6" width="16" style="22" bestFit="1" customWidth="1"/>
    <col min="7" max="7" width="16.5703125" style="22" bestFit="1" customWidth="1"/>
    <col min="8" max="8" width="15.140625" style="22" bestFit="1" customWidth="1"/>
    <col min="9" max="9" width="9.42578125" bestFit="1" customWidth="1"/>
    <col min="10" max="10" width="11.28515625" bestFit="1" customWidth="1"/>
    <col min="14" max="14" width="10.28515625" style="21" bestFit="1" customWidth="1"/>
    <col min="15" max="15" width="11.140625" style="21" bestFit="1" customWidth="1"/>
    <col min="16" max="16" width="18.85546875" style="21" bestFit="1" customWidth="1"/>
    <col min="17" max="17" width="15.28515625" style="22" bestFit="1" customWidth="1"/>
    <col min="18" max="18" width="9.140625" style="21"/>
    <col min="19" max="19" width="12" style="21" bestFit="1" customWidth="1"/>
    <col min="20" max="20" width="14.42578125" style="22" bestFit="1" customWidth="1"/>
  </cols>
  <sheetData>
    <row r="1" spans="1:21" x14ac:dyDescent="0.25">
      <c r="A1" s="1"/>
      <c r="B1" s="1"/>
      <c r="C1" s="1"/>
      <c r="D1"/>
      <c r="E1"/>
      <c r="F1"/>
      <c r="G1"/>
      <c r="H1"/>
      <c r="N1"/>
      <c r="O1"/>
      <c r="P1"/>
      <c r="Q1"/>
      <c r="R1"/>
      <c r="S1"/>
      <c r="T1"/>
    </row>
    <row r="2" spans="1:21" ht="27.75" x14ac:dyDescent="0.4">
      <c r="A2" s="139" t="s">
        <v>36</v>
      </c>
      <c r="B2" s="139"/>
      <c r="C2" s="139"/>
      <c r="D2" s="139"/>
      <c r="E2" s="139"/>
      <c r="F2" s="139"/>
      <c r="G2" s="139"/>
      <c r="H2" s="139"/>
      <c r="N2" s="139" t="s">
        <v>45</v>
      </c>
      <c r="O2" s="139"/>
      <c r="P2" s="139"/>
      <c r="Q2" s="139"/>
      <c r="R2" s="139"/>
      <c r="S2" s="139"/>
      <c r="T2" s="139"/>
    </row>
    <row r="3" spans="1:21" x14ac:dyDescent="0.25">
      <c r="A3" s="20"/>
      <c r="B3" s="20"/>
      <c r="C3" s="20"/>
      <c r="D3" s="20"/>
      <c r="E3" s="20"/>
      <c r="F3" s="20"/>
      <c r="G3" s="20"/>
      <c r="H3" s="20"/>
      <c r="N3" s="20"/>
      <c r="O3" s="20"/>
      <c r="P3" s="20"/>
      <c r="Q3" s="20"/>
      <c r="R3" s="20"/>
      <c r="S3" s="20"/>
      <c r="T3" s="20"/>
    </row>
    <row r="4" spans="1:21" x14ac:dyDescent="0.25">
      <c r="A4" s="26" t="s">
        <v>37</v>
      </c>
      <c r="B4" s="13" t="s">
        <v>38</v>
      </c>
      <c r="C4" s="13" t="s">
        <v>39</v>
      </c>
      <c r="D4" s="13" t="s">
        <v>40</v>
      </c>
      <c r="E4" s="13" t="s">
        <v>35</v>
      </c>
      <c r="F4" s="13" t="s">
        <v>41</v>
      </c>
      <c r="G4" s="13" t="s">
        <v>42</v>
      </c>
      <c r="H4" s="13" t="s">
        <v>43</v>
      </c>
      <c r="N4" s="26" t="s">
        <v>44</v>
      </c>
      <c r="O4" s="26" t="s">
        <v>247</v>
      </c>
      <c r="P4" s="26" t="s">
        <v>14</v>
      </c>
      <c r="Q4" s="26" t="s">
        <v>15</v>
      </c>
      <c r="R4" s="26" t="s">
        <v>16</v>
      </c>
      <c r="S4" s="26" t="s">
        <v>17</v>
      </c>
      <c r="T4" s="26" t="s">
        <v>18</v>
      </c>
      <c r="U4" s="26" t="s">
        <v>19</v>
      </c>
    </row>
    <row r="5" spans="1:21" x14ac:dyDescent="0.25">
      <c r="T5" s="27"/>
    </row>
  </sheetData>
  <mergeCells count="2">
    <mergeCell ref="A2:H2"/>
    <mergeCell ref="N2:T2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T4"/>
  <sheetViews>
    <sheetView workbookViewId="0">
      <selection activeCell="N6" sqref="N6"/>
    </sheetView>
  </sheetViews>
  <sheetFormatPr defaultRowHeight="15" x14ac:dyDescent="0.25"/>
  <cols>
    <col min="1" max="1" width="11.85546875" style="3" bestFit="1" customWidth="1"/>
    <col min="2" max="2" width="10" style="3" bestFit="1" customWidth="1"/>
    <col min="3" max="3" width="15.28515625" style="3" bestFit="1" customWidth="1"/>
    <col min="4" max="4" width="19.42578125" style="3" bestFit="1" customWidth="1"/>
    <col min="5" max="5" width="9.5703125" style="4" bestFit="1" customWidth="1"/>
    <col min="6" max="7" width="15.28515625" style="5" bestFit="1" customWidth="1"/>
    <col min="8" max="8" width="10.140625" style="5" bestFit="1" customWidth="1"/>
    <col min="9" max="9" width="9.42578125" bestFit="1" customWidth="1"/>
    <col min="10" max="10" width="11.28515625" bestFit="1" customWidth="1"/>
    <col min="14" max="14" width="10.28515625" style="3" bestFit="1" customWidth="1"/>
    <col min="15" max="15" width="12.140625" style="3" bestFit="1" customWidth="1"/>
    <col min="16" max="16" width="16.28515625" style="3" bestFit="1" customWidth="1"/>
    <col min="17" max="17" width="16.28515625" style="5" bestFit="1" customWidth="1"/>
    <col min="18" max="18" width="9.140625" style="4"/>
    <col min="19" max="19" width="12" style="5" bestFit="1" customWidth="1"/>
    <col min="20" max="20" width="15.28515625" style="5" bestFit="1" customWidth="1"/>
  </cols>
  <sheetData>
    <row r="1" spans="1:20" x14ac:dyDescent="0.25">
      <c r="A1" s="1"/>
      <c r="B1" s="1"/>
      <c r="C1" s="1"/>
      <c r="D1"/>
      <c r="E1"/>
      <c r="F1"/>
      <c r="G1"/>
      <c r="H1"/>
      <c r="N1"/>
      <c r="O1"/>
      <c r="P1"/>
      <c r="Q1"/>
      <c r="R1"/>
      <c r="S1"/>
      <c r="T1"/>
    </row>
    <row r="2" spans="1:20" ht="27.75" x14ac:dyDescent="0.4">
      <c r="A2" s="139" t="s">
        <v>46</v>
      </c>
      <c r="B2" s="139"/>
      <c r="C2" s="139"/>
      <c r="D2" s="139"/>
      <c r="E2" s="139"/>
      <c r="F2" s="139"/>
      <c r="G2" s="139"/>
      <c r="H2" s="139"/>
      <c r="N2" s="139" t="s">
        <v>47</v>
      </c>
      <c r="O2" s="139"/>
      <c r="P2" s="139"/>
      <c r="Q2" s="139"/>
      <c r="R2" s="139"/>
      <c r="S2" s="139"/>
      <c r="T2" s="139"/>
    </row>
    <row r="3" spans="1:20" x14ac:dyDescent="0.25">
      <c r="A3" s="20"/>
      <c r="B3" s="20"/>
      <c r="C3" s="20"/>
      <c r="D3" s="20"/>
      <c r="E3" s="20"/>
      <c r="F3" s="20"/>
      <c r="G3" s="20"/>
      <c r="H3" s="20"/>
      <c r="N3" s="20"/>
      <c r="O3" s="20"/>
      <c r="P3" s="20"/>
      <c r="Q3" s="20"/>
      <c r="R3" s="20"/>
      <c r="S3" s="20"/>
      <c r="T3" s="20"/>
    </row>
    <row r="4" spans="1:20" x14ac:dyDescent="0.25">
      <c r="A4" s="26" t="s">
        <v>37</v>
      </c>
      <c r="B4" s="13" t="s">
        <v>38</v>
      </c>
      <c r="C4" s="13" t="s">
        <v>0</v>
      </c>
      <c r="D4" s="13" t="s">
        <v>1</v>
      </c>
      <c r="E4" s="13" t="s">
        <v>35</v>
      </c>
      <c r="F4" s="13" t="s">
        <v>41</v>
      </c>
      <c r="G4" s="13" t="s">
        <v>42</v>
      </c>
      <c r="H4" s="13" t="s">
        <v>43</v>
      </c>
      <c r="N4" s="26" t="s">
        <v>44</v>
      </c>
      <c r="O4" s="26" t="s">
        <v>29</v>
      </c>
      <c r="P4" s="26" t="s">
        <v>28</v>
      </c>
      <c r="Q4" s="26" t="s">
        <v>27</v>
      </c>
      <c r="R4" s="26" t="s">
        <v>17</v>
      </c>
      <c r="S4" s="26" t="s">
        <v>18</v>
      </c>
      <c r="T4" s="26" t="s">
        <v>19</v>
      </c>
    </row>
  </sheetData>
  <mergeCells count="2">
    <mergeCell ref="A2:H2"/>
    <mergeCell ref="N2:T2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"/>
  <sheetViews>
    <sheetView topLeftCell="A40" workbookViewId="0">
      <selection activeCell="G50" sqref="G50"/>
    </sheetView>
  </sheetViews>
  <sheetFormatPr defaultRowHeight="15" x14ac:dyDescent="0.25"/>
  <cols>
    <col min="1" max="3" width="15.7109375" customWidth="1"/>
    <col min="4" max="4" width="3.5703125" customWidth="1"/>
    <col min="5" max="5" width="13.42578125" style="11" bestFit="1" customWidth="1"/>
    <col min="6" max="6" width="17.5703125" style="11" bestFit="1" customWidth="1"/>
    <col min="7" max="7" width="9.7109375" style="11" bestFit="1" customWidth="1"/>
    <col min="8" max="8" width="14.85546875" style="4" bestFit="1" customWidth="1"/>
  </cols>
  <sheetData>
    <row r="1" spans="1:8" x14ac:dyDescent="0.25">
      <c r="A1" s="1"/>
      <c r="B1" s="1"/>
      <c r="C1" s="1"/>
      <c r="E1"/>
      <c r="F1"/>
      <c r="G1"/>
      <c r="H1"/>
    </row>
    <row r="2" spans="1:8" ht="27.75" x14ac:dyDescent="0.25">
      <c r="A2" s="1"/>
      <c r="B2" s="1"/>
      <c r="C2" s="1"/>
      <c r="E2" s="138" t="s">
        <v>48</v>
      </c>
      <c r="F2" s="138"/>
      <c r="G2" s="138"/>
      <c r="H2" s="138"/>
    </row>
    <row r="3" spans="1:8" x14ac:dyDescent="0.25">
      <c r="A3" s="1"/>
      <c r="B3" s="1"/>
      <c r="C3" s="1"/>
      <c r="E3" s="14"/>
      <c r="F3" s="14"/>
      <c r="G3" s="14"/>
      <c r="H3" s="14"/>
    </row>
    <row r="4" spans="1:8" x14ac:dyDescent="0.25">
      <c r="A4" s="1"/>
      <c r="B4" s="1"/>
      <c r="C4" s="1"/>
      <c r="E4" s="13" t="s">
        <v>39</v>
      </c>
      <c r="F4" s="13" t="s">
        <v>40</v>
      </c>
      <c r="G4" s="13" t="s">
        <v>2</v>
      </c>
      <c r="H4" s="13" t="s">
        <v>3</v>
      </c>
    </row>
    <row r="5" spans="1:8" x14ac:dyDescent="0.25">
      <c r="A5" s="1"/>
      <c r="B5" s="1"/>
      <c r="C5" s="1"/>
      <c r="E5" s="3" t="s">
        <v>68</v>
      </c>
      <c r="F5" s="12" t="s">
        <v>230</v>
      </c>
      <c r="G5" s="3" t="s">
        <v>231</v>
      </c>
      <c r="H5" s="4" t="s">
        <v>232</v>
      </c>
    </row>
    <row r="6" spans="1:8" x14ac:dyDescent="0.25">
      <c r="A6" s="1"/>
      <c r="B6" s="1"/>
      <c r="C6" s="1"/>
      <c r="E6" s="3" t="s">
        <v>69</v>
      </c>
      <c r="F6" s="12" t="s">
        <v>233</v>
      </c>
      <c r="G6" s="3" t="s">
        <v>12</v>
      </c>
      <c r="H6" s="4" t="s">
        <v>142</v>
      </c>
    </row>
  </sheetData>
  <mergeCells count="1">
    <mergeCell ref="E2:H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J1:V18"/>
  <sheetViews>
    <sheetView topLeftCell="G1" workbookViewId="0">
      <selection activeCell="J8" sqref="J8"/>
    </sheetView>
  </sheetViews>
  <sheetFormatPr defaultRowHeight="15" x14ac:dyDescent="0.25"/>
  <cols>
    <col min="10" max="10" width="10.28515625" style="86" bestFit="1" customWidth="1"/>
    <col min="11" max="11" width="10.5703125" style="86" bestFit="1" customWidth="1"/>
    <col min="12" max="12" width="18.140625" style="86" bestFit="1" customWidth="1"/>
    <col min="13" max="13" width="11.28515625" style="86" bestFit="1" customWidth="1"/>
    <col min="14" max="14" width="11.7109375" style="86" customWidth="1"/>
    <col min="15" max="15" width="15.85546875" style="112" bestFit="1" customWidth="1"/>
    <col min="16" max="16" width="16.42578125" style="112" bestFit="1" customWidth="1"/>
    <col min="17" max="17" width="16.7109375" style="86" customWidth="1"/>
    <col min="18" max="18" width="13.5703125" style="112" customWidth="1"/>
    <col min="19" max="19" width="16.42578125" style="112" bestFit="1" customWidth="1"/>
    <col min="20" max="20" width="11.7109375" style="86" bestFit="1" customWidth="1"/>
    <col min="21" max="21" width="16" style="112" bestFit="1" customWidth="1"/>
    <col min="22" max="22" width="17.28515625" style="112" bestFit="1" customWidth="1"/>
  </cols>
  <sheetData>
    <row r="1" spans="10:22" x14ac:dyDescent="0.25">
      <c r="J1"/>
      <c r="K1"/>
      <c r="L1"/>
      <c r="M1"/>
      <c r="N1"/>
      <c r="O1"/>
      <c r="P1"/>
      <c r="Q1"/>
      <c r="R1"/>
      <c r="S1"/>
      <c r="T1"/>
      <c r="U1"/>
      <c r="V1"/>
    </row>
    <row r="2" spans="10:22" x14ac:dyDescent="0.25">
      <c r="J2"/>
      <c r="K2"/>
      <c r="L2"/>
      <c r="M2"/>
      <c r="N2"/>
      <c r="O2"/>
      <c r="P2"/>
      <c r="Q2"/>
      <c r="R2"/>
      <c r="S2"/>
      <c r="T2"/>
      <c r="U2"/>
      <c r="V2"/>
    </row>
    <row r="3" spans="10:22" ht="15" customHeight="1" x14ac:dyDescent="0.25">
      <c r="J3" s="125" t="s">
        <v>234</v>
      </c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</row>
    <row r="4" spans="10:22" x14ac:dyDescent="0.25"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</row>
    <row r="5" spans="10:22" ht="15.75" customHeight="1" x14ac:dyDescent="0.25"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</row>
    <row r="6" spans="10:22" ht="30" x14ac:dyDescent="0.25">
      <c r="J6" s="109" t="s">
        <v>44</v>
      </c>
      <c r="K6" s="109" t="s">
        <v>38</v>
      </c>
      <c r="L6" s="109" t="s">
        <v>59</v>
      </c>
      <c r="M6" s="109" t="s">
        <v>14</v>
      </c>
      <c r="N6" s="110" t="s">
        <v>235</v>
      </c>
      <c r="O6" s="110" t="s">
        <v>236</v>
      </c>
      <c r="P6" s="110" t="s">
        <v>237</v>
      </c>
      <c r="Q6" s="110" t="s">
        <v>238</v>
      </c>
      <c r="R6" s="110" t="s">
        <v>239</v>
      </c>
      <c r="S6" s="110" t="s">
        <v>240</v>
      </c>
      <c r="T6" s="110" t="s">
        <v>241</v>
      </c>
      <c r="U6" s="109" t="s">
        <v>242</v>
      </c>
      <c r="V6" s="109" t="s">
        <v>243</v>
      </c>
    </row>
    <row r="7" spans="10:22" x14ac:dyDescent="0.25">
      <c r="K7" s="87"/>
    </row>
    <row r="8" spans="10:22" x14ac:dyDescent="0.25">
      <c r="K8" s="87"/>
    </row>
    <row r="9" spans="10:22" x14ac:dyDescent="0.25">
      <c r="K9" s="87"/>
    </row>
    <row r="10" spans="10:22" x14ac:dyDescent="0.25">
      <c r="K10" s="87"/>
    </row>
    <row r="11" spans="10:22" x14ac:dyDescent="0.25">
      <c r="K11" s="87"/>
    </row>
    <row r="12" spans="10:22" x14ac:dyDescent="0.25">
      <c r="K12" s="87"/>
    </row>
    <row r="13" spans="10:22" x14ac:dyDescent="0.25">
      <c r="K13" s="87"/>
    </row>
    <row r="14" spans="10:22" x14ac:dyDescent="0.25">
      <c r="K14" s="87"/>
    </row>
    <row r="15" spans="10:22" x14ac:dyDescent="0.25">
      <c r="K15" s="87"/>
    </row>
    <row r="16" spans="10:22" x14ac:dyDescent="0.25">
      <c r="K16" s="87"/>
    </row>
    <row r="17" spans="11:11" x14ac:dyDescent="0.25">
      <c r="K17" s="87"/>
    </row>
    <row r="18" spans="11:11" x14ac:dyDescent="0.25">
      <c r="K18" s="87"/>
    </row>
  </sheetData>
  <mergeCells count="1">
    <mergeCell ref="J3:V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4"/>
  <sheetViews>
    <sheetView topLeftCell="C1" zoomScaleNormal="100" workbookViewId="0">
      <selection activeCell="O15" sqref="O15"/>
    </sheetView>
  </sheetViews>
  <sheetFormatPr defaultRowHeight="15" x14ac:dyDescent="0.25"/>
  <cols>
    <col min="1" max="2" width="15.7109375" customWidth="1"/>
    <col min="3" max="3" width="11.140625" customWidth="1"/>
    <col min="4" max="4" width="6" customWidth="1"/>
    <col min="5" max="5" width="9.140625" bestFit="1" customWidth="1"/>
    <col min="6" max="6" width="9.7109375" bestFit="1" customWidth="1"/>
    <col min="7" max="7" width="8" bestFit="1" customWidth="1"/>
    <col min="8" max="8" width="24.85546875" bestFit="1" customWidth="1"/>
    <col min="9" max="9" width="28.7109375" bestFit="1" customWidth="1"/>
    <col min="10" max="10" width="23" bestFit="1" customWidth="1"/>
    <col min="11" max="11" width="2.5703125" customWidth="1"/>
    <col min="12" max="12" width="2.140625" customWidth="1"/>
    <col min="13" max="13" width="36.28515625" bestFit="1" customWidth="1"/>
    <col min="14" max="14" width="20.7109375" bestFit="1" customWidth="1"/>
    <col min="15" max="15" width="19.28515625" bestFit="1" customWidth="1"/>
  </cols>
  <sheetData>
    <row r="1" spans="1:17" x14ac:dyDescent="0.25">
      <c r="A1" s="1"/>
      <c r="B1" s="1"/>
      <c r="C1" s="1"/>
    </row>
    <row r="2" spans="1:17" ht="27" customHeight="1" x14ac:dyDescent="0.45">
      <c r="A2" s="1"/>
      <c r="B2" s="1"/>
      <c r="C2" s="1"/>
      <c r="E2" s="2"/>
      <c r="F2" s="2"/>
      <c r="G2" s="2"/>
      <c r="H2" s="126" t="s">
        <v>145</v>
      </c>
      <c r="I2" s="126"/>
      <c r="J2" s="126"/>
      <c r="K2" s="126"/>
      <c r="L2" s="126"/>
      <c r="M2" s="126"/>
      <c r="N2" s="126"/>
      <c r="O2" s="2"/>
      <c r="P2" s="2"/>
      <c r="Q2" s="2"/>
    </row>
    <row r="3" spans="1:17" x14ac:dyDescent="0.25">
      <c r="A3" s="1"/>
      <c r="B3" s="1"/>
      <c r="C3" s="1"/>
      <c r="H3" s="127" t="s">
        <v>146</v>
      </c>
      <c r="I3" s="127"/>
      <c r="J3" s="127"/>
      <c r="K3" s="127"/>
      <c r="L3" s="127"/>
      <c r="M3" s="127"/>
      <c r="N3" s="127"/>
      <c r="O3" s="1"/>
      <c r="P3" s="1"/>
      <c r="Q3" s="1"/>
    </row>
    <row r="4" spans="1:17" x14ac:dyDescent="0.25">
      <c r="A4" s="1"/>
      <c r="B4" s="1"/>
      <c r="C4" s="1"/>
    </row>
    <row r="5" spans="1:17" ht="34.5" x14ac:dyDescent="0.55000000000000004">
      <c r="A5" s="1"/>
      <c r="B5" s="1"/>
      <c r="C5" s="1"/>
      <c r="H5" s="128" t="s">
        <v>171</v>
      </c>
      <c r="I5" s="128"/>
      <c r="J5" s="128"/>
      <c r="K5" s="128"/>
      <c r="L5" s="128"/>
      <c r="M5" s="128"/>
      <c r="N5" s="128"/>
      <c r="O5" s="1"/>
      <c r="P5" s="1"/>
      <c r="Q5" s="1"/>
    </row>
    <row r="6" spans="1:17" x14ac:dyDescent="0.25">
      <c r="A6" s="1"/>
      <c r="B6" s="1"/>
      <c r="C6" s="1"/>
    </row>
    <row r="7" spans="1:17" ht="15.75" x14ac:dyDescent="0.25">
      <c r="H7" s="34" t="s">
        <v>172</v>
      </c>
      <c r="I7" s="35"/>
      <c r="J7" s="35"/>
      <c r="K7" s="55"/>
      <c r="L7" s="35"/>
      <c r="M7" s="34" t="s">
        <v>173</v>
      </c>
      <c r="N7" s="35"/>
      <c r="O7" s="35"/>
    </row>
    <row r="8" spans="1:17" ht="15.75" x14ac:dyDescent="0.25">
      <c r="H8" s="35"/>
      <c r="I8" s="34" t="s">
        <v>78</v>
      </c>
      <c r="J8" s="56">
        <f>'Data Akun'!L5</f>
        <v>15000000</v>
      </c>
      <c r="K8" s="55"/>
      <c r="L8" s="35"/>
      <c r="M8" s="35"/>
      <c r="N8" s="35" t="s">
        <v>96</v>
      </c>
      <c r="O8" s="37">
        <f>'Data Akun'!L16</f>
        <v>0</v>
      </c>
    </row>
    <row r="9" spans="1:17" x14ac:dyDescent="0.25">
      <c r="H9" s="35"/>
      <c r="I9" s="35" t="s">
        <v>65</v>
      </c>
      <c r="J9" s="37">
        <f>'Data Akun'!L6</f>
        <v>0</v>
      </c>
      <c r="K9" s="55"/>
      <c r="L9" s="35"/>
      <c r="M9" s="35"/>
      <c r="N9" s="35" t="s">
        <v>99</v>
      </c>
      <c r="O9" s="37">
        <f>'Data Akun'!L17</f>
        <v>0</v>
      </c>
    </row>
    <row r="10" spans="1:17" x14ac:dyDescent="0.25">
      <c r="H10" s="35"/>
      <c r="I10" s="35" t="s">
        <v>63</v>
      </c>
      <c r="J10" s="37">
        <f>'Data Akun'!L7</f>
        <v>735000</v>
      </c>
      <c r="K10" s="55"/>
      <c r="L10" s="85"/>
      <c r="M10" s="35"/>
      <c r="N10" s="35" t="s">
        <v>101</v>
      </c>
      <c r="O10" s="37">
        <f>'Data Akun'!L18</f>
        <v>0</v>
      </c>
    </row>
    <row r="11" spans="1:17" ht="31.5" x14ac:dyDescent="0.25">
      <c r="H11" s="35"/>
      <c r="I11" s="39" t="s">
        <v>61</v>
      </c>
      <c r="J11" s="37">
        <f>'Data Akun'!L8</f>
        <v>0</v>
      </c>
      <c r="K11" s="55"/>
      <c r="L11" s="35"/>
      <c r="M11" s="35"/>
      <c r="N11" s="35"/>
      <c r="O11" s="37"/>
    </row>
    <row r="12" spans="1:17" x14ac:dyDescent="0.25">
      <c r="H12" s="35"/>
      <c r="I12" s="35" t="s">
        <v>83</v>
      </c>
      <c r="J12" s="37">
        <f>'Data Akun'!L9</f>
        <v>270000</v>
      </c>
      <c r="K12" s="55"/>
      <c r="L12" s="35"/>
      <c r="M12" s="35" t="s">
        <v>174</v>
      </c>
      <c r="N12" s="35"/>
      <c r="O12" s="37"/>
    </row>
    <row r="13" spans="1:17" ht="15.75" x14ac:dyDescent="0.25">
      <c r="H13" s="35"/>
      <c r="I13" s="34" t="s">
        <v>85</v>
      </c>
      <c r="J13" s="37">
        <f>'Data Akun'!L10</f>
        <v>325000</v>
      </c>
      <c r="K13" s="55"/>
      <c r="L13" s="35"/>
      <c r="M13" s="35"/>
      <c r="N13" s="35" t="s">
        <v>103</v>
      </c>
      <c r="O13" s="37">
        <f>'Data Akun'!L19</f>
        <v>255000000</v>
      </c>
    </row>
    <row r="14" spans="1:17" x14ac:dyDescent="0.25">
      <c r="H14" s="35"/>
      <c r="I14" s="35" t="s">
        <v>246</v>
      </c>
      <c r="J14" s="37">
        <f>'Data Akun'!L12*-1</f>
        <v>-250000</v>
      </c>
      <c r="K14" s="55"/>
      <c r="L14" s="35"/>
      <c r="M14" s="35"/>
      <c r="N14" s="35" t="s">
        <v>105</v>
      </c>
      <c r="O14" s="37">
        <f>'Data Akun'!L20</f>
        <v>0</v>
      </c>
    </row>
    <row r="15" spans="1:17" x14ac:dyDescent="0.25">
      <c r="H15" s="35" t="s">
        <v>175</v>
      </c>
      <c r="I15" s="35" t="s">
        <v>87</v>
      </c>
      <c r="J15" s="37">
        <f>'Data Akun'!L11</f>
        <v>15000000</v>
      </c>
      <c r="K15" s="35"/>
      <c r="L15" s="35"/>
      <c r="M15" s="35"/>
      <c r="N15" s="35" t="s">
        <v>107</v>
      </c>
      <c r="O15" s="37">
        <f>Laba_Rugi!J23</f>
        <v>0</v>
      </c>
    </row>
    <row r="16" spans="1:17" ht="15.75" x14ac:dyDescent="0.25">
      <c r="H16" s="35"/>
      <c r="I16" s="35"/>
      <c r="J16" s="56">
        <f>SUM(J8:J15)</f>
        <v>31080000</v>
      </c>
      <c r="K16" s="35"/>
      <c r="L16" s="35"/>
      <c r="M16" s="35" t="s">
        <v>176</v>
      </c>
      <c r="N16" s="35"/>
      <c r="O16" s="37">
        <f>SUM(O13:O15)</f>
        <v>255000000</v>
      </c>
    </row>
    <row r="17" spans="8:15" x14ac:dyDescent="0.25">
      <c r="H17" s="35" t="s">
        <v>177</v>
      </c>
      <c r="I17" s="35"/>
      <c r="J17" s="37"/>
      <c r="K17" s="35"/>
      <c r="L17" s="35"/>
      <c r="M17" s="35" t="s">
        <v>178</v>
      </c>
      <c r="N17" s="35"/>
      <c r="O17" s="37">
        <f>SUM(O8:O10)+O16</f>
        <v>255000000</v>
      </c>
    </row>
    <row r="18" spans="8:15" x14ac:dyDescent="0.25">
      <c r="H18" s="35"/>
      <c r="I18" s="35"/>
      <c r="J18" s="37"/>
      <c r="K18" s="35"/>
      <c r="L18" s="35"/>
      <c r="M18" s="35"/>
      <c r="N18" s="35"/>
      <c r="O18" s="37"/>
    </row>
    <row r="19" spans="8:15" ht="15.75" x14ac:dyDescent="0.25">
      <c r="H19" s="35"/>
      <c r="I19" s="34" t="s">
        <v>89</v>
      </c>
      <c r="J19" s="56">
        <f>'Data Akun'!L13</f>
        <v>127045000</v>
      </c>
      <c r="K19" s="35"/>
      <c r="L19" s="35"/>
      <c r="M19" s="35"/>
      <c r="N19" s="35"/>
      <c r="O19" s="37"/>
    </row>
    <row r="20" spans="8:15" ht="28.5" x14ac:dyDescent="0.25">
      <c r="H20" s="57"/>
      <c r="I20" s="35" t="s">
        <v>91</v>
      </c>
      <c r="J20" s="37">
        <f>'Data Akun'!L14</f>
        <v>100000000</v>
      </c>
      <c r="K20" s="35"/>
      <c r="L20" s="35"/>
      <c r="M20" s="58" t="s">
        <v>179</v>
      </c>
      <c r="N20" s="35" t="str">
        <f>IF(O20=0,"Balance","Not Balance")</f>
        <v>Balance</v>
      </c>
      <c r="O20" s="59">
        <f>IF(O17&lt;J23,O17-J23,IF(O17&gt;J23,J23-O17,0))</f>
        <v>0</v>
      </c>
    </row>
    <row r="21" spans="8:15" ht="15.75" x14ac:dyDescent="0.25">
      <c r="H21" s="34" t="s">
        <v>180</v>
      </c>
      <c r="I21" s="35" t="s">
        <v>93</v>
      </c>
      <c r="J21" s="37">
        <f>'Data Akun'!L15*-1</f>
        <v>-3125000</v>
      </c>
      <c r="K21" s="35"/>
      <c r="L21" s="35"/>
      <c r="M21" s="35"/>
      <c r="N21" s="35"/>
      <c r="O21" s="35"/>
    </row>
    <row r="22" spans="8:15" ht="15.75" x14ac:dyDescent="0.25">
      <c r="H22" s="34" t="s">
        <v>181</v>
      </c>
      <c r="I22" s="32"/>
      <c r="J22" s="60">
        <f>SUM(J19:J21)</f>
        <v>223920000</v>
      </c>
      <c r="K22" s="35"/>
      <c r="L22" s="35"/>
      <c r="M22" s="35"/>
      <c r="N22" s="35"/>
      <c r="O22" s="35"/>
    </row>
    <row r="23" spans="8:15" x14ac:dyDescent="0.25">
      <c r="I23" s="32"/>
      <c r="J23" s="61">
        <f>J16+J22</f>
        <v>255000000</v>
      </c>
      <c r="K23" s="62"/>
      <c r="L23" s="62"/>
      <c r="M23" s="62"/>
      <c r="N23" s="62"/>
      <c r="O23" s="62"/>
    </row>
    <row r="24" spans="8:15" x14ac:dyDescent="0.25">
      <c r="K24" s="62"/>
      <c r="L24" s="62"/>
      <c r="M24" s="62"/>
      <c r="N24" s="62"/>
      <c r="O24" s="62"/>
    </row>
  </sheetData>
  <mergeCells count="3">
    <mergeCell ref="H2:N2"/>
    <mergeCell ref="H3:N3"/>
    <mergeCell ref="H5:N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23"/>
  <sheetViews>
    <sheetView topLeftCell="E1" zoomScaleNormal="100" workbookViewId="0">
      <selection activeCell="H36" sqref="H36"/>
    </sheetView>
  </sheetViews>
  <sheetFormatPr defaultRowHeight="15" x14ac:dyDescent="0.25"/>
  <cols>
    <col min="1" max="1" width="14" customWidth="1"/>
    <col min="2" max="2" width="11" customWidth="1"/>
    <col min="3" max="3" width="10.140625" customWidth="1"/>
    <col min="4" max="4" width="9.5703125" customWidth="1"/>
    <col min="5" max="5" width="12" bestFit="1" customWidth="1"/>
    <col min="6" max="6" width="9.85546875" customWidth="1"/>
    <col min="7" max="7" width="9.28515625" customWidth="1"/>
    <col min="8" max="8" width="22.42578125" bestFit="1" customWidth="1"/>
    <col min="9" max="9" width="20.28515625" bestFit="1" customWidth="1"/>
    <col min="10" max="11" width="14.7109375" bestFit="1" customWidth="1"/>
  </cols>
  <sheetData>
    <row r="1" spans="1:20" x14ac:dyDescent="0.25">
      <c r="A1" s="1"/>
      <c r="B1" s="1"/>
      <c r="C1" s="1"/>
    </row>
    <row r="2" spans="1:20" ht="28.5" customHeight="1" x14ac:dyDescent="0.45">
      <c r="A2" s="1"/>
      <c r="B2" s="1"/>
      <c r="C2" s="1"/>
      <c r="E2" s="2"/>
      <c r="F2" s="2"/>
      <c r="G2" s="2"/>
      <c r="H2" s="126" t="s">
        <v>145</v>
      </c>
      <c r="I2" s="126"/>
      <c r="J2" s="126"/>
      <c r="K2" s="126"/>
      <c r="L2" s="126"/>
      <c r="M2" s="126"/>
      <c r="N2" s="126"/>
    </row>
    <row r="3" spans="1:20" x14ac:dyDescent="0.25">
      <c r="A3" s="1"/>
      <c r="B3" s="1"/>
      <c r="C3" s="1"/>
      <c r="H3" s="127" t="s">
        <v>146</v>
      </c>
      <c r="I3" s="127"/>
      <c r="J3" s="127"/>
      <c r="K3" s="127"/>
      <c r="L3" s="127"/>
      <c r="M3" s="127"/>
      <c r="N3" s="127"/>
    </row>
    <row r="4" spans="1:20" x14ac:dyDescent="0.25">
      <c r="A4" s="1"/>
      <c r="B4" s="1"/>
      <c r="C4" s="1"/>
    </row>
    <row r="5" spans="1:20" ht="34.5" x14ac:dyDescent="0.55000000000000004">
      <c r="A5" s="1"/>
      <c r="B5" s="1"/>
      <c r="C5" s="1"/>
      <c r="H5" s="128" t="s">
        <v>147</v>
      </c>
      <c r="I5" s="128"/>
      <c r="J5" s="128"/>
      <c r="K5" s="128"/>
      <c r="L5" s="128"/>
      <c r="M5" s="128"/>
      <c r="N5" s="128"/>
    </row>
    <row r="6" spans="1:20" ht="15.75" x14ac:dyDescent="0.25">
      <c r="A6" s="1"/>
      <c r="B6" s="1"/>
      <c r="C6" s="1"/>
      <c r="H6" s="34" t="s">
        <v>110</v>
      </c>
      <c r="I6" s="35"/>
      <c r="J6" s="36"/>
      <c r="K6" s="36"/>
    </row>
    <row r="7" spans="1:20" ht="15" customHeight="1" x14ac:dyDescent="0.25">
      <c r="H7" s="35"/>
      <c r="I7" s="35" t="s">
        <v>109</v>
      </c>
      <c r="J7" s="37">
        <f>'Data Akun'!L22</f>
        <v>0</v>
      </c>
      <c r="K7" s="37"/>
      <c r="O7" s="38"/>
      <c r="P7" s="38"/>
      <c r="Q7" s="38"/>
      <c r="R7" s="38"/>
      <c r="S7" s="38"/>
      <c r="T7" s="38"/>
    </row>
    <row r="8" spans="1:20" x14ac:dyDescent="0.25">
      <c r="H8" s="35" t="s">
        <v>148</v>
      </c>
      <c r="I8" s="35"/>
      <c r="J8" s="37"/>
      <c r="K8" s="37">
        <f>J7</f>
        <v>0</v>
      </c>
      <c r="O8" s="38"/>
      <c r="P8" s="38"/>
      <c r="Q8" s="38"/>
      <c r="R8" s="38"/>
      <c r="S8" s="38"/>
      <c r="T8" s="38"/>
    </row>
    <row r="9" spans="1:20" x14ac:dyDescent="0.25">
      <c r="H9" s="35"/>
      <c r="I9" s="35"/>
      <c r="J9" s="37"/>
      <c r="K9" s="37"/>
      <c r="O9" s="38"/>
      <c r="P9" s="38"/>
      <c r="Q9" s="38"/>
      <c r="R9" s="38"/>
      <c r="S9" s="38"/>
      <c r="T9" s="38"/>
    </row>
    <row r="10" spans="1:20" ht="31.5" x14ac:dyDescent="0.25">
      <c r="H10" s="39" t="s">
        <v>149</v>
      </c>
      <c r="I10" s="35"/>
      <c r="J10" s="37"/>
      <c r="K10" s="37"/>
      <c r="L10" s="83"/>
      <c r="O10" s="38"/>
      <c r="P10" s="38"/>
      <c r="Q10" s="38"/>
      <c r="R10" s="38"/>
      <c r="S10" s="38"/>
      <c r="T10" s="38"/>
    </row>
    <row r="11" spans="1:20" ht="31.5" x14ac:dyDescent="0.25">
      <c r="H11" s="35"/>
      <c r="I11" s="39" t="s">
        <v>149</v>
      </c>
      <c r="J11" s="37">
        <f>'Data Akun'!L23</f>
        <v>0</v>
      </c>
      <c r="K11" s="37"/>
      <c r="O11" s="38"/>
      <c r="P11" s="38"/>
      <c r="Q11" s="38"/>
      <c r="R11" s="38"/>
      <c r="S11" s="38"/>
      <c r="T11" s="38"/>
    </row>
    <row r="12" spans="1:20" x14ac:dyDescent="0.25">
      <c r="H12" s="35" t="s">
        <v>150</v>
      </c>
      <c r="I12" s="35"/>
      <c r="J12" s="37"/>
      <c r="K12" s="37">
        <f>J11</f>
        <v>0</v>
      </c>
      <c r="O12" s="38"/>
      <c r="P12" s="38"/>
      <c r="Q12" s="38"/>
      <c r="R12" s="38"/>
      <c r="S12" s="38"/>
      <c r="T12" s="38"/>
    </row>
    <row r="13" spans="1:20" x14ac:dyDescent="0.25">
      <c r="H13" s="35"/>
      <c r="I13" s="35"/>
      <c r="J13" s="37"/>
      <c r="K13" s="37"/>
      <c r="O13" s="38"/>
      <c r="P13" s="38"/>
      <c r="Q13" s="38"/>
      <c r="R13" s="38"/>
      <c r="S13" s="38"/>
      <c r="T13" s="38"/>
    </row>
    <row r="14" spans="1:20" ht="15.75" x14ac:dyDescent="0.25">
      <c r="H14" s="34" t="s">
        <v>151</v>
      </c>
      <c r="I14" s="35"/>
      <c r="J14" s="37"/>
      <c r="K14" s="37">
        <f>K8-K12</f>
        <v>0</v>
      </c>
      <c r="O14" s="38"/>
      <c r="P14" s="38"/>
      <c r="Q14" s="38"/>
      <c r="R14" s="38"/>
      <c r="S14" s="38"/>
      <c r="T14" s="38"/>
    </row>
    <row r="15" spans="1:20" x14ac:dyDescent="0.25">
      <c r="H15" s="35"/>
      <c r="I15" s="35"/>
      <c r="J15" s="37"/>
      <c r="K15" s="37"/>
      <c r="O15" s="38"/>
      <c r="P15" s="38"/>
      <c r="Q15" s="38"/>
      <c r="R15" s="38"/>
      <c r="S15" s="38"/>
      <c r="T15" s="38"/>
    </row>
    <row r="16" spans="1:20" ht="15.75" x14ac:dyDescent="0.25">
      <c r="H16" s="34" t="s">
        <v>152</v>
      </c>
      <c r="I16" s="35"/>
      <c r="J16" s="37"/>
      <c r="K16" s="37"/>
      <c r="O16" s="38"/>
      <c r="P16" s="38"/>
      <c r="Q16" s="38"/>
      <c r="R16" s="38"/>
      <c r="S16" s="38"/>
      <c r="T16" s="38"/>
    </row>
    <row r="17" spans="8:20" x14ac:dyDescent="0.25">
      <c r="H17" s="35"/>
      <c r="I17" s="35" t="s">
        <v>115</v>
      </c>
      <c r="J17" s="37">
        <f>'Data Akun'!L24</f>
        <v>0</v>
      </c>
      <c r="K17" s="37"/>
      <c r="O17" s="38"/>
      <c r="P17" s="38"/>
      <c r="Q17" s="38"/>
      <c r="R17" s="38"/>
      <c r="S17" s="38"/>
      <c r="T17" s="38"/>
    </row>
    <row r="18" spans="8:20" x14ac:dyDescent="0.25">
      <c r="H18" s="35"/>
      <c r="I18" s="35" t="s">
        <v>118</v>
      </c>
      <c r="J18" s="37">
        <f>'Data Akun'!L25</f>
        <v>0</v>
      </c>
      <c r="K18" s="37"/>
      <c r="O18" s="38"/>
      <c r="P18" s="38"/>
      <c r="Q18" s="38"/>
      <c r="R18" s="38"/>
      <c r="S18" s="38"/>
      <c r="T18" s="38"/>
    </row>
    <row r="19" spans="8:20" x14ac:dyDescent="0.25">
      <c r="H19" s="35"/>
      <c r="I19" s="35" t="s">
        <v>124</v>
      </c>
      <c r="J19" s="37">
        <f>'Data Akun'!L28</f>
        <v>0</v>
      </c>
      <c r="K19" s="37"/>
      <c r="O19" s="38"/>
      <c r="P19" s="38"/>
      <c r="Q19" s="38"/>
      <c r="R19" s="38"/>
      <c r="S19" s="38"/>
      <c r="T19" s="38"/>
    </row>
    <row r="20" spans="8:20" x14ac:dyDescent="0.25">
      <c r="H20" s="35"/>
      <c r="I20" s="35" t="s">
        <v>126</v>
      </c>
      <c r="J20" s="37">
        <f>'Data Akun'!L29</f>
        <v>0</v>
      </c>
      <c r="K20" s="37"/>
      <c r="O20" s="38"/>
      <c r="P20" s="38"/>
      <c r="Q20" s="38"/>
      <c r="R20" s="38"/>
      <c r="S20" s="38"/>
      <c r="T20" s="38"/>
    </row>
    <row r="21" spans="8:20" x14ac:dyDescent="0.25">
      <c r="H21" s="35"/>
      <c r="I21" s="35" t="s">
        <v>128</v>
      </c>
      <c r="J21" s="37">
        <f>'Data Akun'!L30</f>
        <v>0</v>
      </c>
      <c r="K21" s="37"/>
    </row>
    <row r="22" spans="8:20" x14ac:dyDescent="0.25">
      <c r="H22" s="35" t="s">
        <v>153</v>
      </c>
      <c r="I22" s="35"/>
      <c r="J22" s="37">
        <f>SUM(J17:J21)</f>
        <v>0</v>
      </c>
      <c r="K22" s="37"/>
    </row>
    <row r="23" spans="8:20" x14ac:dyDescent="0.25">
      <c r="H23" s="35" t="s">
        <v>111</v>
      </c>
      <c r="I23" s="35"/>
      <c r="J23" s="37">
        <f>K14-J22</f>
        <v>0</v>
      </c>
      <c r="K23" s="37"/>
    </row>
  </sheetData>
  <mergeCells count="3">
    <mergeCell ref="H2:N2"/>
    <mergeCell ref="H3:N3"/>
    <mergeCell ref="H5:N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6"/>
  <sheetViews>
    <sheetView zoomScaleNormal="100" workbookViewId="0">
      <selection activeCell="M16" sqref="M16"/>
    </sheetView>
  </sheetViews>
  <sheetFormatPr defaultRowHeight="15" x14ac:dyDescent="0.25"/>
  <cols>
    <col min="1" max="1" width="10.5703125" customWidth="1"/>
    <col min="2" max="2" width="9.85546875" customWidth="1"/>
    <col min="3" max="3" width="10.140625" customWidth="1"/>
    <col min="4" max="4" width="7.28515625" customWidth="1"/>
    <col min="5" max="5" width="12" bestFit="1" customWidth="1"/>
    <col min="6" max="6" width="10.140625" customWidth="1"/>
    <col min="7" max="7" width="9" bestFit="1" customWidth="1"/>
    <col min="9" max="9" width="35.5703125" bestFit="1" customWidth="1"/>
    <col min="12" max="13" width="15.5703125" bestFit="1" customWidth="1"/>
  </cols>
  <sheetData>
    <row r="1" spans="1:15" ht="16.5" customHeight="1" x14ac:dyDescent="0.25">
      <c r="A1" s="1"/>
      <c r="B1" s="1"/>
      <c r="C1" s="1"/>
    </row>
    <row r="2" spans="1:15" ht="29.25" customHeight="1" x14ac:dyDescent="0.45">
      <c r="A2" s="1"/>
      <c r="B2" s="1"/>
      <c r="C2" s="1"/>
      <c r="E2" s="2"/>
      <c r="F2" s="2"/>
      <c r="G2" s="2"/>
      <c r="H2" s="2"/>
      <c r="I2" s="126" t="s">
        <v>145</v>
      </c>
      <c r="J2" s="126"/>
      <c r="K2" s="126"/>
      <c r="L2" s="126"/>
      <c r="M2" s="126"/>
      <c r="N2" s="40"/>
      <c r="O2" s="40"/>
    </row>
    <row r="3" spans="1:15" x14ac:dyDescent="0.25">
      <c r="A3" s="1"/>
      <c r="B3" s="1"/>
      <c r="C3" s="1"/>
      <c r="I3" s="127" t="s">
        <v>146</v>
      </c>
      <c r="J3" s="127"/>
      <c r="K3" s="127"/>
      <c r="L3" s="127"/>
      <c r="M3" s="127"/>
      <c r="N3" s="41"/>
      <c r="O3" s="41"/>
    </row>
    <row r="4" spans="1:15" x14ac:dyDescent="0.25">
      <c r="A4" s="1"/>
      <c r="B4" s="1"/>
      <c r="C4" s="1"/>
    </row>
    <row r="5" spans="1:15" ht="34.5" x14ac:dyDescent="0.55000000000000004">
      <c r="A5" s="1"/>
      <c r="B5" s="1"/>
      <c r="C5" s="1"/>
      <c r="I5" s="128" t="s">
        <v>154</v>
      </c>
      <c r="J5" s="128"/>
      <c r="K5" s="128"/>
      <c r="L5" s="128"/>
      <c r="M5" s="128"/>
      <c r="N5" s="42"/>
      <c r="O5" s="42"/>
    </row>
    <row r="6" spans="1:15" x14ac:dyDescent="0.25">
      <c r="A6" s="1"/>
      <c r="B6" s="1"/>
      <c r="C6" s="1"/>
      <c r="I6" s="43" t="s">
        <v>155</v>
      </c>
      <c r="J6" s="43"/>
      <c r="K6" s="43"/>
      <c r="L6" s="44"/>
      <c r="M6" s="44">
        <v>0</v>
      </c>
      <c r="N6" s="45"/>
      <c r="O6" s="45"/>
    </row>
    <row r="7" spans="1:15" x14ac:dyDescent="0.25">
      <c r="I7" s="43"/>
      <c r="J7" s="43"/>
      <c r="K7" s="43"/>
      <c r="L7" s="44"/>
      <c r="M7" s="44"/>
      <c r="N7" s="45"/>
      <c r="O7" s="45"/>
    </row>
    <row r="8" spans="1:15" x14ac:dyDescent="0.25">
      <c r="I8" s="43" t="s">
        <v>156</v>
      </c>
      <c r="J8" s="43"/>
      <c r="K8" s="43"/>
      <c r="L8" s="44">
        <f>'Data Akun'!K7</f>
        <v>735000</v>
      </c>
      <c r="M8" s="44"/>
      <c r="N8" s="45"/>
      <c r="O8" s="45"/>
    </row>
    <row r="9" spans="1:15" x14ac:dyDescent="0.25">
      <c r="I9" s="43" t="s">
        <v>157</v>
      </c>
      <c r="J9" s="43"/>
      <c r="K9" s="43"/>
      <c r="L9" s="44">
        <f>'Data Akun'!L7</f>
        <v>735000</v>
      </c>
      <c r="M9" s="44"/>
      <c r="N9" s="45"/>
      <c r="O9" s="45"/>
    </row>
    <row r="10" spans="1:15" x14ac:dyDescent="0.25">
      <c r="I10" s="43" t="s">
        <v>158</v>
      </c>
      <c r="J10" s="43"/>
      <c r="K10" s="43"/>
      <c r="L10" s="84">
        <f>L8-L9</f>
        <v>0</v>
      </c>
      <c r="M10" s="44"/>
      <c r="N10" s="45"/>
      <c r="O10" s="45"/>
    </row>
    <row r="11" spans="1:15" x14ac:dyDescent="0.25">
      <c r="I11" s="43" t="s">
        <v>159</v>
      </c>
      <c r="J11" s="43"/>
      <c r="K11" s="43"/>
      <c r="L11" s="46">
        <v>0</v>
      </c>
      <c r="M11" s="44"/>
      <c r="N11" s="45"/>
      <c r="O11" s="45"/>
    </row>
    <row r="12" spans="1:15" x14ac:dyDescent="0.25">
      <c r="I12" s="43" t="s">
        <v>160</v>
      </c>
      <c r="J12" s="43"/>
      <c r="K12" s="43"/>
      <c r="L12" s="46">
        <v>0</v>
      </c>
      <c r="M12" s="44"/>
      <c r="N12" s="45"/>
      <c r="O12" s="45"/>
    </row>
    <row r="13" spans="1:15" ht="15.75" x14ac:dyDescent="0.3">
      <c r="I13" s="47" t="s">
        <v>161</v>
      </c>
      <c r="J13" s="43"/>
      <c r="K13" s="43"/>
      <c r="L13" s="44"/>
      <c r="M13" s="44">
        <f>SUM(L10:L12)</f>
        <v>0</v>
      </c>
      <c r="N13" s="45"/>
      <c r="O13" s="45"/>
    </row>
    <row r="14" spans="1:15" ht="15.75" x14ac:dyDescent="0.3">
      <c r="I14" s="47" t="s">
        <v>162</v>
      </c>
      <c r="J14" s="43"/>
      <c r="K14" s="43"/>
      <c r="L14" s="44"/>
      <c r="M14" s="44">
        <f>M6+M13</f>
        <v>0</v>
      </c>
      <c r="N14" s="45"/>
      <c r="O14" s="45"/>
    </row>
    <row r="15" spans="1:15" x14ac:dyDescent="0.25">
      <c r="I15" s="43" t="s">
        <v>163</v>
      </c>
      <c r="J15" s="43"/>
      <c r="K15" s="43"/>
      <c r="L15" s="44"/>
      <c r="M15" s="44">
        <v>0</v>
      </c>
      <c r="N15" s="45"/>
      <c r="O15" s="45"/>
    </row>
    <row r="16" spans="1:15" ht="15.75" x14ac:dyDescent="0.3">
      <c r="I16" s="47" t="s">
        <v>164</v>
      </c>
      <c r="J16" s="43"/>
      <c r="K16" s="43"/>
      <c r="L16" s="44"/>
      <c r="M16" s="46">
        <f>M14-M15</f>
        <v>0</v>
      </c>
      <c r="N16" s="45"/>
      <c r="O16" s="45"/>
    </row>
  </sheetData>
  <mergeCells count="3">
    <mergeCell ref="I2:M2"/>
    <mergeCell ref="I3:M3"/>
    <mergeCell ref="I5:M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I1:P62"/>
  <sheetViews>
    <sheetView topLeftCell="C1" workbookViewId="0">
      <selection activeCell="K22" sqref="K22"/>
    </sheetView>
  </sheetViews>
  <sheetFormatPr defaultRowHeight="15" x14ac:dyDescent="0.25"/>
  <cols>
    <col min="9" max="9" width="14.5703125" bestFit="1" customWidth="1"/>
    <col min="10" max="10" width="11.85546875" style="65" bestFit="1" customWidth="1"/>
    <col min="11" max="11" width="42" bestFit="1" customWidth="1"/>
    <col min="12" max="12" width="18.140625" style="71" bestFit="1" customWidth="1"/>
    <col min="13" max="13" width="18.28515625" style="71" bestFit="1" customWidth="1"/>
    <col min="14" max="14" width="17.85546875" style="71" bestFit="1" customWidth="1"/>
    <col min="15" max="15" width="13.140625" bestFit="1" customWidth="1"/>
    <col min="16" max="16" width="28.28515625" bestFit="1" customWidth="1"/>
    <col min="17" max="17" width="11.7109375" bestFit="1" customWidth="1"/>
    <col min="18" max="18" width="13.140625" bestFit="1" customWidth="1"/>
  </cols>
  <sheetData>
    <row r="1" spans="9:16" x14ac:dyDescent="0.25">
      <c r="J1"/>
      <c r="L1"/>
      <c r="M1"/>
      <c r="N1"/>
    </row>
    <row r="2" spans="9:16" x14ac:dyDescent="0.25">
      <c r="J2"/>
      <c r="L2"/>
      <c r="M2"/>
      <c r="N2"/>
    </row>
    <row r="3" spans="9:16" ht="27" x14ac:dyDescent="0.35">
      <c r="I3" s="126" t="s">
        <v>145</v>
      </c>
      <c r="J3" s="126"/>
      <c r="K3" s="126"/>
      <c r="L3" s="126"/>
      <c r="M3" s="126"/>
      <c r="N3" s="126"/>
      <c r="O3" s="126"/>
      <c r="P3" s="40"/>
    </row>
    <row r="4" spans="9:16" x14ac:dyDescent="0.25">
      <c r="I4" s="127" t="s">
        <v>146</v>
      </c>
      <c r="J4" s="127"/>
      <c r="K4" s="127"/>
      <c r="L4" s="127"/>
      <c r="M4" s="127"/>
      <c r="N4" s="127"/>
      <c r="O4" s="127"/>
      <c r="P4" s="41"/>
    </row>
    <row r="5" spans="9:16" x14ac:dyDescent="0.25">
      <c r="I5" s="1"/>
      <c r="J5" s="1"/>
      <c r="K5" s="1"/>
      <c r="L5" s="1"/>
      <c r="M5" s="1"/>
      <c r="N5" s="1"/>
      <c r="O5" s="1"/>
    </row>
    <row r="6" spans="9:16" ht="34.5" x14ac:dyDescent="0.55000000000000004">
      <c r="I6" s="128" t="s">
        <v>182</v>
      </c>
      <c r="J6" s="128"/>
      <c r="K6" s="128"/>
      <c r="L6" s="128"/>
      <c r="M6" s="128"/>
      <c r="N6" s="128"/>
      <c r="O6" s="128"/>
      <c r="P6" s="42"/>
    </row>
    <row r="7" spans="9:16" x14ac:dyDescent="0.25">
      <c r="I7" s="11" t="s">
        <v>168</v>
      </c>
      <c r="J7" s="63" t="s">
        <v>183</v>
      </c>
      <c r="K7" s="87" t="s">
        <v>78</v>
      </c>
      <c r="L7"/>
      <c r="M7"/>
      <c r="N7"/>
    </row>
    <row r="8" spans="9:16" x14ac:dyDescent="0.25">
      <c r="I8" s="11" t="s">
        <v>169</v>
      </c>
      <c r="J8" s="63" t="s">
        <v>183</v>
      </c>
      <c r="K8" s="87" t="str">
        <f>_xlfn.IFNA(VLOOKUP($K$7,'Data Akun'!$P$5:$W$30,2,0),"-")</f>
        <v>1.1.1.1</v>
      </c>
      <c r="L8" s="65"/>
      <c r="M8"/>
      <c r="N8"/>
    </row>
    <row r="9" spans="9:16" x14ac:dyDescent="0.25">
      <c r="I9" s="63" t="s">
        <v>184</v>
      </c>
      <c r="J9" s="11" t="s">
        <v>183</v>
      </c>
      <c r="K9" s="87" t="str">
        <f>_xlfn.IFNA(VLOOKUP($K$7,'Data Akun'!$P$5:$W$30,4,0),"-")</f>
        <v>DEBIT</v>
      </c>
      <c r="L9"/>
      <c r="M9"/>
      <c r="N9"/>
    </row>
    <row r="10" spans="9:16" x14ac:dyDescent="0.25">
      <c r="I10" s="63" t="s">
        <v>185</v>
      </c>
      <c r="J10" s="11" t="s">
        <v>183</v>
      </c>
      <c r="K10" s="95">
        <f>_xlfn.IFNA(VLOOKUP($K$7,'Data Akun'!$P$5:$W$30,7,0),"-")</f>
        <v>15000000</v>
      </c>
      <c r="L10" s="83"/>
      <c r="M10"/>
      <c r="N10"/>
    </row>
    <row r="11" spans="9:16" x14ac:dyDescent="0.25">
      <c r="I11" s="63" t="s">
        <v>186</v>
      </c>
      <c r="J11" s="11" t="s">
        <v>183</v>
      </c>
      <c r="K11" s="95">
        <f>_xlfn.IFNA(VLOOKUP($K$7,'Data Akun'!$P$5:$W$30,8,0),"-")</f>
        <v>15000000</v>
      </c>
      <c r="L11"/>
      <c r="M11"/>
      <c r="N11"/>
    </row>
    <row r="13" spans="9:16" x14ac:dyDescent="0.25">
      <c r="I13" s="48" t="s">
        <v>37</v>
      </c>
      <c r="J13" s="66" t="s">
        <v>166</v>
      </c>
      <c r="K13" s="91" t="s">
        <v>167</v>
      </c>
      <c r="L13" s="48" t="s">
        <v>80</v>
      </c>
      <c r="M13" s="48" t="s">
        <v>94</v>
      </c>
      <c r="N13" s="48" t="s">
        <v>186</v>
      </c>
    </row>
    <row r="14" spans="9:16" x14ac:dyDescent="0.25">
      <c r="I14" s="67"/>
      <c r="J14" s="68"/>
      <c r="K14" s="92" t="s">
        <v>74</v>
      </c>
      <c r="L14" s="69">
        <f>IF($K$9="DEBIT",$K$10,0)</f>
        <v>15000000</v>
      </c>
      <c r="M14" s="69">
        <f>IF($K$9="KREDIT",$K$10,0)</f>
        <v>0</v>
      </c>
      <c r="N14" s="69">
        <f>IF($K$9="DEBIT",L14-M14,IF($K$9="KREDIT",M14-L14,0))</f>
        <v>15000000</v>
      </c>
    </row>
    <row r="15" spans="9:16" x14ac:dyDescent="0.25">
      <c r="I15" s="63" t="str">
        <f>IF(OR(Jurnal!$N7='Buku Besar'!$K$7,Jurnal!$Q7='Buku Besar'!$K$7),Jurnal!$J7,"-")</f>
        <v>-</v>
      </c>
      <c r="J15" s="64" t="str">
        <f>IF(OR(Jurnal!$N7='Buku Besar'!$K$7,Jurnal!Q7='Buku Besar'!$K$7),Jurnal!$K7,"-")</f>
        <v>-</v>
      </c>
      <c r="K15" s="63" t="str">
        <f>IF(OR(Jurnal!$N7='Buku Besar'!$K$7,Jurnal!$Q7='Buku Besar'!$K$7),Jurnal!$M7,"-")</f>
        <v>-</v>
      </c>
      <c r="L15" s="70">
        <f>IF(Jurnal!$N7='Buku Besar'!$K$7,Jurnal!$P7,0)</f>
        <v>0</v>
      </c>
      <c r="M15" s="70">
        <f>IF(Jurnal!$Q7='Buku Besar'!$K$7,Jurnal!$S7,0)</f>
        <v>0</v>
      </c>
      <c r="N15" s="69">
        <f>IF($K$9="DEBIT",N14+(L15-M15),IF($K$9="KREDIT",N14+(M15-L15),0))</f>
        <v>15000000</v>
      </c>
    </row>
    <row r="16" spans="9:16" x14ac:dyDescent="0.25">
      <c r="I16" s="63" t="str">
        <f>IF(OR(Jurnal!$N8='Buku Besar'!$K$7,Jurnal!$Q8='Buku Besar'!$K$7),Jurnal!$J8,"-")</f>
        <v>-</v>
      </c>
      <c r="J16" s="64" t="str">
        <f>IF(OR(Jurnal!$N8='Buku Besar'!$K$7,Jurnal!Q8='Buku Besar'!$K$7),Jurnal!$K8,"-")</f>
        <v>-</v>
      </c>
      <c r="K16" s="63" t="str">
        <f>IF(OR(Jurnal!$N8='Buku Besar'!$K$7,Jurnal!$Q8='Buku Besar'!$K$7),Jurnal!$M8,"-")</f>
        <v>-</v>
      </c>
      <c r="L16" s="70">
        <f>IF(Jurnal!$N8='Buku Besar'!$K$7,Jurnal!$P8,0)</f>
        <v>0</v>
      </c>
      <c r="M16" s="70">
        <f>IF(Jurnal!$Q8='Buku Besar'!$K$7,Jurnal!$S8,0)</f>
        <v>0</v>
      </c>
      <c r="N16" s="69">
        <f t="shared" ref="N16:N62" si="0">IF($K$9="DEBIT",N15+(L16-M16),IF($K$9="KREDIT",N15+(M16-L16),0))</f>
        <v>15000000</v>
      </c>
    </row>
    <row r="17" spans="9:15" x14ac:dyDescent="0.25">
      <c r="I17" s="63" t="str">
        <f>IF(OR(Jurnal!$N9='Buku Besar'!$K$7,Jurnal!$Q9='Buku Besar'!$K$7),Jurnal!$J9,"-")</f>
        <v>-</v>
      </c>
      <c r="J17" s="64" t="str">
        <f>IF(OR(Jurnal!$N9='Buku Besar'!$K$7,Jurnal!Q9='Buku Besar'!$K$7),Jurnal!$K9,"-")</f>
        <v>-</v>
      </c>
      <c r="K17" s="63" t="str">
        <f>IF(OR(Jurnal!$N9='Buku Besar'!$K$7,Jurnal!$Q9='Buku Besar'!$K$7),Jurnal!$M9,"-")</f>
        <v>-</v>
      </c>
      <c r="L17" s="70">
        <f>IF(Jurnal!$N9='Buku Besar'!$K$7,Jurnal!$P9,0)</f>
        <v>0</v>
      </c>
      <c r="M17" s="70">
        <f>IF(Jurnal!$Q9='Buku Besar'!$K$7,Jurnal!$S9,0)</f>
        <v>0</v>
      </c>
      <c r="N17" s="69">
        <f t="shared" si="0"/>
        <v>15000000</v>
      </c>
    </row>
    <row r="18" spans="9:15" x14ac:dyDescent="0.25">
      <c r="I18" s="63" t="str">
        <f>IF(OR(Jurnal!$N10='Buku Besar'!$K$7,Jurnal!$Q10='Buku Besar'!$K$7),Jurnal!$J10,"-")</f>
        <v>-</v>
      </c>
      <c r="J18" s="64" t="str">
        <f>IF(OR(Jurnal!$N10='Buku Besar'!$K$7,Jurnal!Q10='Buku Besar'!$K$7),Jurnal!$K10,"-")</f>
        <v>-</v>
      </c>
      <c r="K18" s="63" t="str">
        <f>IF(OR(Jurnal!$N10='Buku Besar'!$K$7,Jurnal!$Q10='Buku Besar'!$K$7),Jurnal!$M10,"-")</f>
        <v>-</v>
      </c>
      <c r="L18" s="70">
        <f>IF(Jurnal!$N10='Buku Besar'!$K$7,Jurnal!$P10,0)</f>
        <v>0</v>
      </c>
      <c r="M18" s="70">
        <f>IF(Jurnal!$Q10='Buku Besar'!$K$7,Jurnal!$S10,0)</f>
        <v>0</v>
      </c>
      <c r="N18" s="69">
        <f t="shared" si="0"/>
        <v>15000000</v>
      </c>
      <c r="O18" s="71"/>
    </row>
    <row r="19" spans="9:15" x14ac:dyDescent="0.25">
      <c r="I19" s="63" t="str">
        <f>IF(OR(Jurnal!$N11='Buku Besar'!$K$7,Jurnal!$Q11='Buku Besar'!$K$7),Jurnal!$J11,"-")</f>
        <v>-</v>
      </c>
      <c r="J19" s="64" t="str">
        <f>IF(OR(Jurnal!$N11='Buku Besar'!$K$7,Jurnal!Q11='Buku Besar'!$K$7),Jurnal!$K11,"-")</f>
        <v>-</v>
      </c>
      <c r="K19" s="63" t="str">
        <f>IF(OR(Jurnal!$N11='Buku Besar'!$K$7,Jurnal!$Q11='Buku Besar'!$K$7),Jurnal!$M11,"-")</f>
        <v>-</v>
      </c>
      <c r="L19" s="70">
        <f>IF(Jurnal!$N11='Buku Besar'!$K$7,Jurnal!$P11,0)</f>
        <v>0</v>
      </c>
      <c r="M19" s="70">
        <f>IF(Jurnal!$Q11='Buku Besar'!$K$7,Jurnal!$S11,0)</f>
        <v>0</v>
      </c>
      <c r="N19" s="69">
        <f t="shared" si="0"/>
        <v>15000000</v>
      </c>
    </row>
    <row r="20" spans="9:15" x14ac:dyDescent="0.25">
      <c r="I20" s="63" t="str">
        <f>IF(OR(Jurnal!$N12='Buku Besar'!$K$7,Jurnal!$Q12='Buku Besar'!$K$7),Jurnal!$J12,"-")</f>
        <v>-</v>
      </c>
      <c r="J20" s="64" t="str">
        <f>IF(OR(Jurnal!$N12='Buku Besar'!$K$7,Jurnal!Q12='Buku Besar'!$K$7),Jurnal!$K12,"-")</f>
        <v>-</v>
      </c>
      <c r="K20" s="63" t="str">
        <f>IF(OR(Jurnal!$N12='Buku Besar'!$K$7,Jurnal!$Q12='Buku Besar'!$K$7),Jurnal!$M12,"-")</f>
        <v>-</v>
      </c>
      <c r="L20" s="70">
        <f>IF(Jurnal!$N12='Buku Besar'!$K$7,Jurnal!$P12,0)</f>
        <v>0</v>
      </c>
      <c r="M20" s="70">
        <f>IF(Jurnal!$Q12='Buku Besar'!$K$7,Jurnal!$S12,0)</f>
        <v>0</v>
      </c>
      <c r="N20" s="69">
        <f t="shared" si="0"/>
        <v>15000000</v>
      </c>
    </row>
    <row r="21" spans="9:15" x14ac:dyDescent="0.25">
      <c r="I21" s="63" t="str">
        <f>IF(OR(Jurnal!$N13='Buku Besar'!$K$7,Jurnal!$Q13='Buku Besar'!$K$7),Jurnal!$J13,"-")</f>
        <v>-</v>
      </c>
      <c r="J21" s="64" t="str">
        <f>IF(OR(Jurnal!$N13='Buku Besar'!$K$7,Jurnal!Q13='Buku Besar'!$K$7),Jurnal!$K13,"-")</f>
        <v>-</v>
      </c>
      <c r="K21" s="63" t="str">
        <f>IF(OR(Jurnal!$N13='Buku Besar'!$K$7,Jurnal!$Q13='Buku Besar'!$K$7),Jurnal!$M13,"-")</f>
        <v>-</v>
      </c>
      <c r="L21" s="70">
        <f>IF(Jurnal!$N13='Buku Besar'!$K$7,Jurnal!$P13,0)</f>
        <v>0</v>
      </c>
      <c r="M21" s="70">
        <f>IF(Jurnal!$Q13='Buku Besar'!$K$7,Jurnal!$S13,0)</f>
        <v>0</v>
      </c>
      <c r="N21" s="69">
        <f t="shared" si="0"/>
        <v>15000000</v>
      </c>
    </row>
    <row r="22" spans="9:15" x14ac:dyDescent="0.25">
      <c r="I22" s="63" t="str">
        <f>IF(OR(Jurnal!$N14='Buku Besar'!$K$7,Jurnal!$Q14='Buku Besar'!$K$7),Jurnal!$J14,"-")</f>
        <v>-</v>
      </c>
      <c r="J22" s="64" t="str">
        <f>IF(OR(Jurnal!$N14='Buku Besar'!$K$7,Jurnal!Q14='Buku Besar'!$K$7),Jurnal!$K14,"-")</f>
        <v>-</v>
      </c>
      <c r="K22" s="63" t="str">
        <f>IF(OR(Jurnal!$N14='Buku Besar'!$K$7,Jurnal!$Q14='Buku Besar'!$K$7),Jurnal!$M14,"-")</f>
        <v>-</v>
      </c>
      <c r="L22" s="70">
        <f>IF(Jurnal!$N14='Buku Besar'!$K$7,Jurnal!$P14,0)</f>
        <v>0</v>
      </c>
      <c r="M22" s="70">
        <f>IF(Jurnal!$Q14='Buku Besar'!$K$7,Jurnal!$S14,0)</f>
        <v>0</v>
      </c>
      <c r="N22" s="69">
        <f t="shared" si="0"/>
        <v>15000000</v>
      </c>
    </row>
    <row r="23" spans="9:15" x14ac:dyDescent="0.25">
      <c r="I23" s="63" t="str">
        <f>IF(OR(Jurnal!$N15='Buku Besar'!$K$7,Jurnal!$Q15='Buku Besar'!$K$7),Jurnal!$J15,"-")</f>
        <v>-</v>
      </c>
      <c r="J23" s="64" t="str">
        <f>IF(OR(Jurnal!$N15='Buku Besar'!$K$7,Jurnal!Q15='Buku Besar'!$K$7),Jurnal!$K15,"-")</f>
        <v>-</v>
      </c>
      <c r="K23" s="63" t="str">
        <f>IF(OR(Jurnal!$N15='Buku Besar'!$K$7,Jurnal!$Q15='Buku Besar'!$K$7),Jurnal!$M15,"-")</f>
        <v>-</v>
      </c>
      <c r="L23" s="70">
        <f>IF(Jurnal!$N15='Buku Besar'!$K$7,Jurnal!$P15,0)</f>
        <v>0</v>
      </c>
      <c r="M23" s="70">
        <f>IF(Jurnal!$Q15='Buku Besar'!$K$7,Jurnal!$S15,0)</f>
        <v>0</v>
      </c>
      <c r="N23" s="69">
        <f t="shared" si="0"/>
        <v>15000000</v>
      </c>
    </row>
    <row r="24" spans="9:15" x14ac:dyDescent="0.25">
      <c r="I24" s="63" t="str">
        <f>IF(OR(Jurnal!$N16='Buku Besar'!$K$7,Jurnal!$Q16='Buku Besar'!$K$7),Jurnal!$J16,"-")</f>
        <v>-</v>
      </c>
      <c r="J24" s="64" t="str">
        <f>IF(OR(Jurnal!$N16='Buku Besar'!$K$7,Jurnal!Q16='Buku Besar'!$K$7),Jurnal!$K16,"-")</f>
        <v>-</v>
      </c>
      <c r="K24" s="63" t="str">
        <f>IF(OR(Jurnal!$N16='Buku Besar'!$K$7,Jurnal!$Q16='Buku Besar'!$K$7),Jurnal!$M16,"-")</f>
        <v>-</v>
      </c>
      <c r="L24" s="70">
        <f>IF(Jurnal!$N16='Buku Besar'!$K$7,Jurnal!$P16,0)</f>
        <v>0</v>
      </c>
      <c r="M24" s="70">
        <f>IF(Jurnal!$Q16='Buku Besar'!$K$7,Jurnal!$S16,0)</f>
        <v>0</v>
      </c>
      <c r="N24" s="69">
        <f t="shared" si="0"/>
        <v>15000000</v>
      </c>
    </row>
    <row r="25" spans="9:15" x14ac:dyDescent="0.25">
      <c r="I25" s="63" t="str">
        <f>IF(OR(Jurnal!$N17='Buku Besar'!$K$7,Jurnal!$Q17='Buku Besar'!$K$7),Jurnal!$J17,"-")</f>
        <v>-</v>
      </c>
      <c r="J25" s="64" t="str">
        <f>IF(OR(Jurnal!$N17='Buku Besar'!$K$7,Jurnal!Q17='Buku Besar'!$K$7),Jurnal!$K17,"-")</f>
        <v>-</v>
      </c>
      <c r="K25" s="63" t="str">
        <f>IF(OR(Jurnal!$N17='Buku Besar'!$K$7,Jurnal!$Q17='Buku Besar'!$K$7),Jurnal!$M17,"-")</f>
        <v>-</v>
      </c>
      <c r="L25" s="70">
        <f>IF(Jurnal!$N17='Buku Besar'!$K$7,Jurnal!$P17,0)</f>
        <v>0</v>
      </c>
      <c r="M25" s="70">
        <f>IF(Jurnal!$Q17='Buku Besar'!$K$7,Jurnal!$S17,0)</f>
        <v>0</v>
      </c>
      <c r="N25" s="69">
        <f t="shared" si="0"/>
        <v>15000000</v>
      </c>
    </row>
    <row r="26" spans="9:15" x14ac:dyDescent="0.25">
      <c r="I26" s="63" t="str">
        <f>IF(OR(Jurnal!$N18='Buku Besar'!$K$7,Jurnal!$Q18='Buku Besar'!$K$7),Jurnal!$J18,"-")</f>
        <v>-</v>
      </c>
      <c r="J26" s="64" t="str">
        <f>IF(OR(Jurnal!$N18='Buku Besar'!$K$7,Jurnal!Q18='Buku Besar'!$K$7),Jurnal!$K18,"-")</f>
        <v>-</v>
      </c>
      <c r="K26" s="63" t="str">
        <f>IF(OR(Jurnal!$N18='Buku Besar'!$K$7,Jurnal!$Q18='Buku Besar'!$K$7),Jurnal!$M18,"-")</f>
        <v>-</v>
      </c>
      <c r="L26" s="70">
        <f>IF(Jurnal!$N18='Buku Besar'!$K$7,Jurnal!$P18,0)</f>
        <v>0</v>
      </c>
      <c r="M26" s="70">
        <f>IF(Jurnal!$Q18='Buku Besar'!$K$7,Jurnal!$S18,0)</f>
        <v>0</v>
      </c>
      <c r="N26" s="69">
        <f t="shared" si="0"/>
        <v>15000000</v>
      </c>
    </row>
    <row r="27" spans="9:15" x14ac:dyDescent="0.25">
      <c r="I27" s="63" t="str">
        <f>IF(OR(Jurnal!$N19='Buku Besar'!$K$7,Jurnal!$Q19='Buku Besar'!$K$7),Jurnal!$J19,"-")</f>
        <v>-</v>
      </c>
      <c r="J27" s="64" t="str">
        <f>IF(OR(Jurnal!$N19='Buku Besar'!$K$7,Jurnal!Q19='Buku Besar'!$K$7),Jurnal!$K19,"-")</f>
        <v>-</v>
      </c>
      <c r="K27" s="63" t="str">
        <f>IF(OR(Jurnal!$N19='Buku Besar'!$K$7,Jurnal!$Q19='Buku Besar'!$K$7),Jurnal!$M19,"-")</f>
        <v>-</v>
      </c>
      <c r="L27" s="70">
        <f>IF(Jurnal!$N19='Buku Besar'!$K$7,Jurnal!$P19,0)</f>
        <v>0</v>
      </c>
      <c r="M27" s="70">
        <f>IF(Jurnal!$Q19='Buku Besar'!$K$7,Jurnal!$S19,0)</f>
        <v>0</v>
      </c>
      <c r="N27" s="69">
        <f t="shared" si="0"/>
        <v>15000000</v>
      </c>
    </row>
    <row r="28" spans="9:15" x14ac:dyDescent="0.25">
      <c r="I28" s="63" t="str">
        <f>IF(OR(Jurnal!$N20='Buku Besar'!$K$7,Jurnal!$Q20='Buku Besar'!$K$7),Jurnal!$J20,"-")</f>
        <v>-</v>
      </c>
      <c r="J28" s="64" t="str">
        <f>IF(OR(Jurnal!$N20='Buku Besar'!$K$7,Jurnal!Q20='Buku Besar'!$K$7),Jurnal!$K20,"-")</f>
        <v>-</v>
      </c>
      <c r="K28" s="63" t="str">
        <f>IF(OR(Jurnal!$N20='Buku Besar'!$K$7,Jurnal!$Q20='Buku Besar'!$K$7),Jurnal!$M20,"-")</f>
        <v>-</v>
      </c>
      <c r="L28" s="70">
        <f>IF(Jurnal!$N20='Buku Besar'!$K$7,Jurnal!$P20,0)</f>
        <v>0</v>
      </c>
      <c r="M28" s="70">
        <f>IF(Jurnal!$Q20='Buku Besar'!$K$7,Jurnal!$S20,0)</f>
        <v>0</v>
      </c>
      <c r="N28" s="69">
        <f t="shared" si="0"/>
        <v>15000000</v>
      </c>
    </row>
    <row r="29" spans="9:15" x14ac:dyDescent="0.25">
      <c r="I29" s="63" t="str">
        <f>IF(OR(Jurnal!$N21='Buku Besar'!$K$7,Jurnal!$Q21='Buku Besar'!$K$7),Jurnal!$J21,"-")</f>
        <v>-</v>
      </c>
      <c r="J29" s="64" t="str">
        <f>IF(OR(Jurnal!$N21='Buku Besar'!$K$7,Jurnal!Q21='Buku Besar'!$K$7),Jurnal!$K21,"-")</f>
        <v>-</v>
      </c>
      <c r="K29" s="63" t="str">
        <f>IF(OR(Jurnal!$N21='Buku Besar'!$K$7,Jurnal!$Q21='Buku Besar'!$K$7),Jurnal!$M21,"-")</f>
        <v>-</v>
      </c>
      <c r="L29" s="70">
        <f>IF(Jurnal!$N21='Buku Besar'!$K$7,Jurnal!$P21,0)</f>
        <v>0</v>
      </c>
      <c r="M29" s="70">
        <f>IF(Jurnal!$Q21='Buku Besar'!$K$7,Jurnal!$S21,0)</f>
        <v>0</v>
      </c>
      <c r="N29" s="69">
        <f t="shared" si="0"/>
        <v>15000000</v>
      </c>
    </row>
    <row r="30" spans="9:15" x14ac:dyDescent="0.25">
      <c r="I30" s="63" t="str">
        <f>IF(OR(Jurnal!$N22='Buku Besar'!$K$7,Jurnal!$Q22='Buku Besar'!$K$7),Jurnal!$J22,"-")</f>
        <v>-</v>
      </c>
      <c r="J30" s="64" t="str">
        <f>IF(OR(Jurnal!$N22='Buku Besar'!$K$7,Jurnal!Q22='Buku Besar'!$K$7),Jurnal!$K22,"-")</f>
        <v>-</v>
      </c>
      <c r="K30" s="63" t="str">
        <f>IF(OR(Jurnal!$N22='Buku Besar'!$K$7,Jurnal!$Q22='Buku Besar'!$K$7),Jurnal!$M22,"-")</f>
        <v>-</v>
      </c>
      <c r="L30" s="70">
        <f>IF(Jurnal!$N22='Buku Besar'!$K$7,Jurnal!$P22,0)</f>
        <v>0</v>
      </c>
      <c r="M30" s="70">
        <f>IF(Jurnal!$Q22='Buku Besar'!$K$7,Jurnal!$S22,0)</f>
        <v>0</v>
      </c>
      <c r="N30" s="69">
        <f t="shared" si="0"/>
        <v>15000000</v>
      </c>
    </row>
    <row r="31" spans="9:15" x14ac:dyDescent="0.25">
      <c r="I31" s="63" t="str">
        <f>IF(OR(Jurnal!$N23='Buku Besar'!$K$7,Jurnal!$Q23='Buku Besar'!$K$7),Jurnal!$J23,"-")</f>
        <v>-</v>
      </c>
      <c r="J31" s="64" t="str">
        <f>IF(OR(Jurnal!$N23='Buku Besar'!$K$7,Jurnal!Q23='Buku Besar'!$K$7),Jurnal!$K23,"-")</f>
        <v>-</v>
      </c>
      <c r="K31" s="63" t="str">
        <f>IF(OR(Jurnal!$N23='Buku Besar'!$K$7,Jurnal!$Q23='Buku Besar'!$K$7),Jurnal!$M23,"-")</f>
        <v>-</v>
      </c>
      <c r="L31" s="70">
        <f>IF(Jurnal!$N23='Buku Besar'!$K$7,Jurnal!$P23,0)</f>
        <v>0</v>
      </c>
      <c r="M31" s="70">
        <f>IF(Jurnal!$Q23='Buku Besar'!$K$7,Jurnal!$S23,0)</f>
        <v>0</v>
      </c>
      <c r="N31" s="69">
        <f t="shared" si="0"/>
        <v>15000000</v>
      </c>
    </row>
    <row r="32" spans="9:15" x14ac:dyDescent="0.25">
      <c r="I32" s="63" t="str">
        <f>IF(OR(Jurnal!$N24='Buku Besar'!$K$7,Jurnal!$Q24='Buku Besar'!$K$7),Jurnal!$J24,"-")</f>
        <v>-</v>
      </c>
      <c r="J32" s="64" t="str">
        <f>IF(OR(Jurnal!$N24='Buku Besar'!$K$7,Jurnal!Q24='Buku Besar'!$K$7),Jurnal!$K24,"-")</f>
        <v>-</v>
      </c>
      <c r="K32" s="63" t="str">
        <f>IF(OR(Jurnal!$N24='Buku Besar'!$K$7,Jurnal!$Q24='Buku Besar'!$K$7),Jurnal!$M24,"-")</f>
        <v>-</v>
      </c>
      <c r="L32" s="70">
        <f>IF(Jurnal!$N24='Buku Besar'!$K$7,Jurnal!$P24,0)</f>
        <v>0</v>
      </c>
      <c r="M32" s="70">
        <f>IF(Jurnal!$Q24='Buku Besar'!$K$7,Jurnal!$S24,0)</f>
        <v>0</v>
      </c>
      <c r="N32" s="69">
        <f t="shared" si="0"/>
        <v>15000000</v>
      </c>
    </row>
    <row r="33" spans="9:14" x14ac:dyDescent="0.25">
      <c r="I33" s="63" t="str">
        <f>IF(OR(Jurnal!$N25='Buku Besar'!$K$7,Jurnal!$Q25='Buku Besar'!$K$7),Jurnal!$J25,"-")</f>
        <v>-</v>
      </c>
      <c r="J33" s="64" t="str">
        <f>IF(OR(Jurnal!$N25='Buku Besar'!$K$7,Jurnal!Q25='Buku Besar'!$K$7),Jurnal!$K25,"-")</f>
        <v>-</v>
      </c>
      <c r="K33" s="63" t="str">
        <f>IF(OR(Jurnal!$N25='Buku Besar'!$K$7,Jurnal!$Q25='Buku Besar'!$K$7),Jurnal!$M25,"-")</f>
        <v>-</v>
      </c>
      <c r="L33" s="70">
        <f>IF(Jurnal!$N25='Buku Besar'!$K$7,Jurnal!$P25,0)</f>
        <v>0</v>
      </c>
      <c r="M33" s="70">
        <f>IF(Jurnal!$Q25='Buku Besar'!$K$7,Jurnal!$S25,0)</f>
        <v>0</v>
      </c>
      <c r="N33" s="69">
        <f t="shared" si="0"/>
        <v>15000000</v>
      </c>
    </row>
    <row r="34" spans="9:14" x14ac:dyDescent="0.25">
      <c r="I34" s="63" t="str">
        <f>IF(OR(Jurnal!$N26='Buku Besar'!$K$7,Jurnal!$Q26='Buku Besar'!$K$7),Jurnal!$J26,"-")</f>
        <v>-</v>
      </c>
      <c r="J34" s="64" t="str">
        <f>IF(OR(Jurnal!$N26='Buku Besar'!$K$7,Jurnal!Q26='Buku Besar'!$K$7),Jurnal!$K26,"-")</f>
        <v>-</v>
      </c>
      <c r="K34" s="63" t="str">
        <f>IF(OR(Jurnal!$N26='Buku Besar'!$K$7,Jurnal!$Q26='Buku Besar'!$K$7),Jurnal!$M26,"-")</f>
        <v>-</v>
      </c>
      <c r="L34" s="70">
        <f>IF(Jurnal!$N26='Buku Besar'!$K$7,Jurnal!$P26,0)</f>
        <v>0</v>
      </c>
      <c r="M34" s="70">
        <f>IF(Jurnal!$Q26='Buku Besar'!$K$7,Jurnal!$S26,0)</f>
        <v>0</v>
      </c>
      <c r="N34" s="69">
        <f t="shared" si="0"/>
        <v>15000000</v>
      </c>
    </row>
    <row r="35" spans="9:14" x14ac:dyDescent="0.25">
      <c r="I35" s="63" t="str">
        <f>IF(OR(Jurnal!$N27='Buku Besar'!$K$7,Jurnal!$Q27='Buku Besar'!$K$7),Jurnal!$J27,"-")</f>
        <v>-</v>
      </c>
      <c r="J35" s="64" t="str">
        <f>IF(OR(Jurnal!$N27='Buku Besar'!$K$7,Jurnal!Q27='Buku Besar'!$K$7),Jurnal!$K27,"-")</f>
        <v>-</v>
      </c>
      <c r="K35" s="63" t="str">
        <f>IF(OR(Jurnal!$N27='Buku Besar'!$K$7,Jurnal!$Q27='Buku Besar'!$K$7),Jurnal!$M27,"-")</f>
        <v>-</v>
      </c>
      <c r="L35" s="70">
        <f>IF(Jurnal!$N27='Buku Besar'!$K$7,Jurnal!$P27,0)</f>
        <v>0</v>
      </c>
      <c r="M35" s="70">
        <f>IF(Jurnal!$Q27='Buku Besar'!$K$7,Jurnal!$S27,0)</f>
        <v>0</v>
      </c>
      <c r="N35" s="69">
        <f t="shared" si="0"/>
        <v>15000000</v>
      </c>
    </row>
    <row r="36" spans="9:14" x14ac:dyDescent="0.25">
      <c r="I36" s="63" t="str">
        <f>IF(OR(Jurnal!$N28='Buku Besar'!$K$7,Jurnal!$Q28='Buku Besar'!$K$7),Jurnal!$J28,"-")</f>
        <v>-</v>
      </c>
      <c r="J36" s="64" t="str">
        <f>IF(OR(Jurnal!$N28='Buku Besar'!$K$7,Jurnal!Q28='Buku Besar'!$K$7),Jurnal!$K28,"-")</f>
        <v>-</v>
      </c>
      <c r="K36" s="63" t="str">
        <f>IF(OR(Jurnal!$N28='Buku Besar'!$K$7,Jurnal!$Q28='Buku Besar'!$K$7),Jurnal!$M28,"-")</f>
        <v>-</v>
      </c>
      <c r="L36" s="70">
        <f>IF(Jurnal!$N28='Buku Besar'!$K$7,Jurnal!$P28,0)</f>
        <v>0</v>
      </c>
      <c r="M36" s="70">
        <f>IF(Jurnal!$Q28='Buku Besar'!$K$7,Jurnal!$S28,0)</f>
        <v>0</v>
      </c>
      <c r="N36" s="69">
        <f t="shared" si="0"/>
        <v>15000000</v>
      </c>
    </row>
    <row r="37" spans="9:14" x14ac:dyDescent="0.25">
      <c r="I37" s="63" t="str">
        <f>IF(OR(Jurnal!$N29='Buku Besar'!$K$7,Jurnal!$Q29='Buku Besar'!$K$7),Jurnal!$J29,"-")</f>
        <v>-</v>
      </c>
      <c r="J37" s="64" t="str">
        <f>IF(OR(Jurnal!$N29='Buku Besar'!$K$7,Jurnal!Q29='Buku Besar'!$K$7),Jurnal!$K29,"-")</f>
        <v>-</v>
      </c>
      <c r="K37" s="63" t="str">
        <f>IF(OR(Jurnal!$N29='Buku Besar'!$K$7,Jurnal!$Q29='Buku Besar'!$K$7),Jurnal!$M29,"-")</f>
        <v>-</v>
      </c>
      <c r="L37" s="70">
        <f>IF(Jurnal!$N29='Buku Besar'!$K$7,Jurnal!$P29,0)</f>
        <v>0</v>
      </c>
      <c r="M37" s="70">
        <f>IF(Jurnal!$Q29='Buku Besar'!$K$7,Jurnal!$S29,0)</f>
        <v>0</v>
      </c>
      <c r="N37" s="69">
        <f t="shared" si="0"/>
        <v>15000000</v>
      </c>
    </row>
    <row r="38" spans="9:14" x14ac:dyDescent="0.25">
      <c r="I38" s="63" t="str">
        <f>IF(OR(Jurnal!$N30='Buku Besar'!$K$7,Jurnal!$Q30='Buku Besar'!$K$7),Jurnal!$J30,"-")</f>
        <v>-</v>
      </c>
      <c r="J38" s="64" t="str">
        <f>IF(OR(Jurnal!$N30='Buku Besar'!$K$7,Jurnal!Q30='Buku Besar'!$K$7),Jurnal!$K30,"-")</f>
        <v>-</v>
      </c>
      <c r="K38" s="63" t="str">
        <f>IF(OR(Jurnal!$N30='Buku Besar'!$K$7,Jurnal!$Q30='Buku Besar'!$K$7),Jurnal!$M30,"-")</f>
        <v>-</v>
      </c>
      <c r="L38" s="70">
        <f>IF(Jurnal!$N30='Buku Besar'!$K$7,Jurnal!$P30,0)</f>
        <v>0</v>
      </c>
      <c r="M38" s="70">
        <f>IF(Jurnal!$Q30='Buku Besar'!$K$7,Jurnal!$S30,0)</f>
        <v>0</v>
      </c>
      <c r="N38" s="69">
        <f t="shared" si="0"/>
        <v>15000000</v>
      </c>
    </row>
    <row r="39" spans="9:14" x14ac:dyDescent="0.25">
      <c r="I39" s="63" t="str">
        <f>IF(OR(Jurnal!$N31='Buku Besar'!$K$7,Jurnal!$Q31='Buku Besar'!$K$7),Jurnal!$J31,"-")</f>
        <v>-</v>
      </c>
      <c r="J39" s="64" t="str">
        <f>IF(OR(Jurnal!$N31='Buku Besar'!$K$7,Jurnal!Q31='Buku Besar'!$K$7),Jurnal!$K31,"-")</f>
        <v>-</v>
      </c>
      <c r="K39" s="63" t="str">
        <f>IF(OR(Jurnal!$N31='Buku Besar'!$K$7,Jurnal!$Q31='Buku Besar'!$K$7),Jurnal!$M31,"-")</f>
        <v>-</v>
      </c>
      <c r="L39" s="70">
        <f>IF(Jurnal!$N31='Buku Besar'!$K$7,Jurnal!$P31,0)</f>
        <v>0</v>
      </c>
      <c r="M39" s="70">
        <f>IF(Jurnal!$Q31='Buku Besar'!$K$7,Jurnal!$S31,0)</f>
        <v>0</v>
      </c>
      <c r="N39" s="69">
        <f t="shared" si="0"/>
        <v>15000000</v>
      </c>
    </row>
    <row r="40" spans="9:14" x14ac:dyDescent="0.25">
      <c r="I40" s="63" t="str">
        <f>IF(OR(Jurnal!$N32='Buku Besar'!$K$7,Jurnal!$Q32='Buku Besar'!$K$7),Jurnal!$J32,"-")</f>
        <v>-</v>
      </c>
      <c r="J40" s="64" t="str">
        <f>IF(OR(Jurnal!$N32='Buku Besar'!$K$7,Jurnal!Q32='Buku Besar'!$K$7),Jurnal!$K32,"-")</f>
        <v>-</v>
      </c>
      <c r="K40" s="63" t="str">
        <f>IF(OR(Jurnal!$N32='Buku Besar'!$K$7,Jurnal!$Q32='Buku Besar'!$K$7),Jurnal!$M32,"-")</f>
        <v>-</v>
      </c>
      <c r="L40" s="70">
        <f>IF(Jurnal!$N32='Buku Besar'!$K$7,Jurnal!$P32,0)</f>
        <v>0</v>
      </c>
      <c r="M40" s="70">
        <f>IF(Jurnal!$Q32='Buku Besar'!$K$7,Jurnal!$S32,0)</f>
        <v>0</v>
      </c>
      <c r="N40" s="69">
        <f t="shared" si="0"/>
        <v>15000000</v>
      </c>
    </row>
    <row r="41" spans="9:14" x14ac:dyDescent="0.25">
      <c r="I41" s="63" t="str">
        <f>IF(OR(Jurnal!$N33='Buku Besar'!$K$7,Jurnal!$Q33='Buku Besar'!$K$7),Jurnal!$J33,"-")</f>
        <v>-</v>
      </c>
      <c r="J41" s="64" t="str">
        <f>IF(OR(Jurnal!$N33='Buku Besar'!$K$7,Jurnal!Q33='Buku Besar'!$K$7),Jurnal!$K33,"-")</f>
        <v>-</v>
      </c>
      <c r="K41" s="63" t="str">
        <f>IF(OR(Jurnal!$N33='Buku Besar'!$K$7,Jurnal!$Q33='Buku Besar'!$K$7),Jurnal!$M33,"-")</f>
        <v>-</v>
      </c>
      <c r="L41" s="70">
        <f>IF(Jurnal!$N33='Buku Besar'!$K$7,Jurnal!$P33,0)</f>
        <v>0</v>
      </c>
      <c r="M41" s="70">
        <f>IF(Jurnal!$Q33='Buku Besar'!$K$7,Jurnal!$S33,0)</f>
        <v>0</v>
      </c>
      <c r="N41" s="69">
        <f t="shared" si="0"/>
        <v>15000000</v>
      </c>
    </row>
    <row r="42" spans="9:14" x14ac:dyDescent="0.25">
      <c r="I42" s="63" t="str">
        <f>IF(OR(Jurnal!$N34='Buku Besar'!$K$7,Jurnal!$Q34='Buku Besar'!$K$7),Jurnal!$J34,"-")</f>
        <v>-</v>
      </c>
      <c r="J42" s="64" t="str">
        <f>IF(OR(Jurnal!$N34='Buku Besar'!$K$7,Jurnal!Q34='Buku Besar'!$K$7),Jurnal!$K34,"-")</f>
        <v>-</v>
      </c>
      <c r="K42" s="63" t="str">
        <f>IF(OR(Jurnal!$N34='Buku Besar'!$K$7,Jurnal!$Q34='Buku Besar'!$K$7),Jurnal!$M34,"-")</f>
        <v>-</v>
      </c>
      <c r="L42" s="70">
        <f>IF(Jurnal!$N34='Buku Besar'!$K$7,Jurnal!$P34,0)</f>
        <v>0</v>
      </c>
      <c r="M42" s="70">
        <f>IF(Jurnal!$Q34='Buku Besar'!$K$7,Jurnal!$S34,0)</f>
        <v>0</v>
      </c>
      <c r="N42" s="69">
        <f t="shared" si="0"/>
        <v>15000000</v>
      </c>
    </row>
    <row r="43" spans="9:14" x14ac:dyDescent="0.25">
      <c r="I43" s="63" t="str">
        <f>IF(OR(Jurnal!$N35='Buku Besar'!$K$7,Jurnal!$Q35='Buku Besar'!$K$7),Jurnal!$J35,"-")</f>
        <v>-</v>
      </c>
      <c r="J43" s="64" t="str">
        <f>IF(OR(Jurnal!$N35='Buku Besar'!$K$7,Jurnal!Q35='Buku Besar'!$K$7),Jurnal!$K35,"-")</f>
        <v>-</v>
      </c>
      <c r="K43" s="63" t="str">
        <f>IF(OR(Jurnal!$N35='Buku Besar'!$K$7,Jurnal!$Q35='Buku Besar'!$K$7),Jurnal!$M35,"-")</f>
        <v>-</v>
      </c>
      <c r="L43" s="70">
        <f>IF(Jurnal!$N35='Buku Besar'!$K$7,Jurnal!$P35,0)</f>
        <v>0</v>
      </c>
      <c r="M43" s="70">
        <f>IF(Jurnal!$Q35='Buku Besar'!$K$7,Jurnal!$S35,0)</f>
        <v>0</v>
      </c>
      <c r="N43" s="69">
        <f t="shared" si="0"/>
        <v>15000000</v>
      </c>
    </row>
    <row r="44" spans="9:14" x14ac:dyDescent="0.25">
      <c r="I44" s="63" t="str">
        <f>IF(OR(Jurnal!$N36='Buku Besar'!$K$7,Jurnal!$Q36='Buku Besar'!$K$7),Jurnal!$J36,"-")</f>
        <v>-</v>
      </c>
      <c r="J44" s="64" t="str">
        <f>IF(OR(Jurnal!$N36='Buku Besar'!$K$7,Jurnal!Q36='Buku Besar'!$K$7),Jurnal!$K36,"-")</f>
        <v>-</v>
      </c>
      <c r="K44" s="63" t="str">
        <f>IF(OR(Jurnal!$N36='Buku Besar'!$K$7,Jurnal!$Q36='Buku Besar'!$K$7),Jurnal!$M36,"-")</f>
        <v>-</v>
      </c>
      <c r="L44" s="70">
        <f>IF(Jurnal!$N36='Buku Besar'!$K$7,Jurnal!$P36,0)</f>
        <v>0</v>
      </c>
      <c r="M44" s="70">
        <f>IF(Jurnal!$Q36='Buku Besar'!$K$7,Jurnal!$S36,0)</f>
        <v>0</v>
      </c>
      <c r="N44" s="69">
        <f t="shared" si="0"/>
        <v>15000000</v>
      </c>
    </row>
    <row r="45" spans="9:14" x14ac:dyDescent="0.25">
      <c r="I45" s="63" t="str">
        <f>IF(OR(Jurnal!$N37='Buku Besar'!$K$7,Jurnal!$Q37='Buku Besar'!$K$7),Jurnal!$J37,"-")</f>
        <v>-</v>
      </c>
      <c r="J45" s="64" t="str">
        <f>IF(OR(Jurnal!$N37='Buku Besar'!$K$7,Jurnal!Q37='Buku Besar'!$K$7),Jurnal!$K37,"-")</f>
        <v>-</v>
      </c>
      <c r="K45" s="63" t="str">
        <f>IF(OR(Jurnal!$N37='Buku Besar'!$K$7,Jurnal!$Q37='Buku Besar'!$K$7),Jurnal!$M37,"-")</f>
        <v>-</v>
      </c>
      <c r="L45" s="70">
        <f>IF(Jurnal!$N37='Buku Besar'!$K$7,Jurnal!$P37,0)</f>
        <v>0</v>
      </c>
      <c r="M45" s="70">
        <f>IF(Jurnal!$Q37='Buku Besar'!$K$7,Jurnal!$S37,0)</f>
        <v>0</v>
      </c>
      <c r="N45" s="69">
        <f t="shared" si="0"/>
        <v>15000000</v>
      </c>
    </row>
    <row r="46" spans="9:14" x14ac:dyDescent="0.25">
      <c r="I46" s="63" t="str">
        <f>IF(OR(Jurnal!$N38='Buku Besar'!$K$7,Jurnal!$Q38='Buku Besar'!$K$7),Jurnal!$J38,"-")</f>
        <v>-</v>
      </c>
      <c r="J46" s="64" t="str">
        <f>IF(OR(Jurnal!$N38='Buku Besar'!$K$7,Jurnal!Q38='Buku Besar'!$K$7),Jurnal!$K38,"-")</f>
        <v>-</v>
      </c>
      <c r="K46" s="63" t="str">
        <f>IF(OR(Jurnal!$N38='Buku Besar'!$K$7,Jurnal!$Q38='Buku Besar'!$K$7),Jurnal!$M38,"-")</f>
        <v>-</v>
      </c>
      <c r="L46" s="70">
        <f>IF(Jurnal!$N38='Buku Besar'!$K$7,Jurnal!$P38,0)</f>
        <v>0</v>
      </c>
      <c r="M46" s="70">
        <f>IF(Jurnal!$Q38='Buku Besar'!$K$7,Jurnal!$S38,0)</f>
        <v>0</v>
      </c>
      <c r="N46" s="69">
        <f t="shared" si="0"/>
        <v>15000000</v>
      </c>
    </row>
    <row r="47" spans="9:14" x14ac:dyDescent="0.25">
      <c r="I47" s="63" t="str">
        <f>IF(OR(Jurnal!$N39='Buku Besar'!$K$7,Jurnal!$Q39='Buku Besar'!$K$7),Jurnal!$J39,"-")</f>
        <v>-</v>
      </c>
      <c r="J47" s="64" t="str">
        <f>IF(OR(Jurnal!$N39='Buku Besar'!$K$7,Jurnal!Q39='Buku Besar'!$K$7),Jurnal!$K39,"-")</f>
        <v>-</v>
      </c>
      <c r="K47" s="63" t="str">
        <f>IF(OR(Jurnal!$N39='Buku Besar'!$K$7,Jurnal!$Q39='Buku Besar'!$K$7),Jurnal!$M39,"-")</f>
        <v>-</v>
      </c>
      <c r="L47" s="70">
        <f>IF(Jurnal!$N39='Buku Besar'!$K$7,Jurnal!$P39,0)</f>
        <v>0</v>
      </c>
      <c r="M47" s="70">
        <f>IF(Jurnal!$Q39='Buku Besar'!$K$7,Jurnal!$S39,0)</f>
        <v>0</v>
      </c>
      <c r="N47" s="69">
        <f t="shared" si="0"/>
        <v>15000000</v>
      </c>
    </row>
    <row r="48" spans="9:14" x14ac:dyDescent="0.25">
      <c r="I48" s="63" t="str">
        <f>IF(OR(Jurnal!$N40='Buku Besar'!$K$7,Jurnal!$Q40='Buku Besar'!$K$7),Jurnal!$J40,"-")</f>
        <v>-</v>
      </c>
      <c r="J48" s="64" t="str">
        <f>IF(OR(Jurnal!$N40='Buku Besar'!$K$7,Jurnal!Q40='Buku Besar'!$K$7),Jurnal!$K40,"-")</f>
        <v>-</v>
      </c>
      <c r="K48" s="63" t="str">
        <f>IF(OR(Jurnal!$N40='Buku Besar'!$K$7,Jurnal!$Q40='Buku Besar'!$K$7),Jurnal!$M40,"-")</f>
        <v>-</v>
      </c>
      <c r="L48" s="70">
        <f>IF(Jurnal!$N40='Buku Besar'!$K$7,Jurnal!$P40,0)</f>
        <v>0</v>
      </c>
      <c r="M48" s="70">
        <f>IF(Jurnal!$Q40='Buku Besar'!$K$7,Jurnal!$S40,0)</f>
        <v>0</v>
      </c>
      <c r="N48" s="69">
        <f t="shared" si="0"/>
        <v>15000000</v>
      </c>
    </row>
    <row r="49" spans="9:14" x14ac:dyDescent="0.25">
      <c r="I49" s="63" t="str">
        <f>IF(OR(Jurnal!$N41='Buku Besar'!$K$7,Jurnal!$Q41='Buku Besar'!$K$7),Jurnal!$J41,"-")</f>
        <v>-</v>
      </c>
      <c r="J49" s="64" t="str">
        <f>IF(OR(Jurnal!$N41='Buku Besar'!$K$7,Jurnal!Q41='Buku Besar'!$K$7),Jurnal!$K41,"-")</f>
        <v>-</v>
      </c>
      <c r="K49" s="63" t="str">
        <f>IF(OR(Jurnal!$N41='Buku Besar'!$K$7,Jurnal!$Q41='Buku Besar'!$K$7),Jurnal!$M41,"-")</f>
        <v>-</v>
      </c>
      <c r="L49" s="70">
        <f>IF(Jurnal!$N41='Buku Besar'!$K$7,Jurnal!$P41,0)</f>
        <v>0</v>
      </c>
      <c r="M49" s="70">
        <f>IF(Jurnal!$Q41='Buku Besar'!$K$7,Jurnal!$S41,0)</f>
        <v>0</v>
      </c>
      <c r="N49" s="69">
        <f t="shared" si="0"/>
        <v>15000000</v>
      </c>
    </row>
    <row r="50" spans="9:14" x14ac:dyDescent="0.25">
      <c r="I50" s="63" t="str">
        <f>IF(OR(Jurnal!$N42='Buku Besar'!$K$7,Jurnal!$Q42='Buku Besar'!$K$7),Jurnal!$J42,"-")</f>
        <v>-</v>
      </c>
      <c r="J50" s="64" t="str">
        <f>IF(OR(Jurnal!$N42='Buku Besar'!$K$7,Jurnal!Q42='Buku Besar'!$K$7),Jurnal!$K42,"-")</f>
        <v>-</v>
      </c>
      <c r="K50" s="63" t="str">
        <f>IF(OR(Jurnal!$N42='Buku Besar'!$K$7,Jurnal!$Q42='Buku Besar'!$K$7),Jurnal!$M42,"-")</f>
        <v>-</v>
      </c>
      <c r="L50" s="70">
        <f>IF(Jurnal!$N42='Buku Besar'!$K$7,Jurnal!$P42,0)</f>
        <v>0</v>
      </c>
      <c r="M50" s="70">
        <f>IF(Jurnal!$Q42='Buku Besar'!$K$7,Jurnal!$S42,0)</f>
        <v>0</v>
      </c>
      <c r="N50" s="69">
        <f t="shared" si="0"/>
        <v>15000000</v>
      </c>
    </row>
    <row r="51" spans="9:14" x14ac:dyDescent="0.25">
      <c r="I51" s="63" t="str">
        <f>IF(OR(Jurnal!$N43='Buku Besar'!$K$7,Jurnal!$Q43='Buku Besar'!$K$7),Jurnal!$J43,"-")</f>
        <v>-</v>
      </c>
      <c r="J51" s="64" t="str">
        <f>IF(OR(Jurnal!$N43='Buku Besar'!$K$7,Jurnal!Q43='Buku Besar'!$K$7),Jurnal!$K43,"-")</f>
        <v>-</v>
      </c>
      <c r="K51" s="63" t="str">
        <f>IF(OR(Jurnal!$N43='Buku Besar'!$K$7,Jurnal!$Q43='Buku Besar'!$K$7),Jurnal!$M43,"-")</f>
        <v>-</v>
      </c>
      <c r="L51" s="70">
        <f>IF(Jurnal!$N43='Buku Besar'!$K$7,Jurnal!$P43,0)</f>
        <v>0</v>
      </c>
      <c r="M51" s="70">
        <f>IF(Jurnal!$Q43='Buku Besar'!$K$7,Jurnal!$S43,0)</f>
        <v>0</v>
      </c>
      <c r="N51" s="69">
        <f t="shared" si="0"/>
        <v>15000000</v>
      </c>
    </row>
    <row r="52" spans="9:14" x14ac:dyDescent="0.25">
      <c r="I52" s="63" t="str">
        <f>IF(OR(Jurnal!$N44='Buku Besar'!$K$7,Jurnal!$Q44='Buku Besar'!$K$7),Jurnal!$J44,"-")</f>
        <v>-</v>
      </c>
      <c r="J52" s="64" t="str">
        <f>IF(OR(Jurnal!$N44='Buku Besar'!$K$7,Jurnal!Q44='Buku Besar'!$K$7),Jurnal!$K44,"-")</f>
        <v>-</v>
      </c>
      <c r="K52" s="63" t="str">
        <f>IF(OR(Jurnal!$N44='Buku Besar'!$K$7,Jurnal!$Q44='Buku Besar'!$K$7),Jurnal!$M44,"-")</f>
        <v>-</v>
      </c>
      <c r="L52" s="70">
        <f>IF(Jurnal!$N44='Buku Besar'!$K$7,Jurnal!$P44,0)</f>
        <v>0</v>
      </c>
      <c r="M52" s="70">
        <f>IF(Jurnal!$Q44='Buku Besar'!$K$7,Jurnal!$S44,0)</f>
        <v>0</v>
      </c>
      <c r="N52" s="69">
        <f t="shared" si="0"/>
        <v>15000000</v>
      </c>
    </row>
    <row r="53" spans="9:14" x14ac:dyDescent="0.25">
      <c r="I53" s="63" t="str">
        <f>IF(OR(Jurnal!$N45='Buku Besar'!$K$7,Jurnal!$Q45='Buku Besar'!$K$7),Jurnal!$J45,"-")</f>
        <v>-</v>
      </c>
      <c r="J53" s="64" t="str">
        <f>IF(OR(Jurnal!$N45='Buku Besar'!$K$7,Jurnal!Q45='Buku Besar'!$K$7),Jurnal!$K45,"-")</f>
        <v>-</v>
      </c>
      <c r="K53" s="63" t="str">
        <f>IF(OR(Jurnal!$N45='Buku Besar'!$K$7,Jurnal!$Q45='Buku Besar'!$K$7),Jurnal!$M45,"-")</f>
        <v>-</v>
      </c>
      <c r="L53" s="70">
        <f>IF(Jurnal!$N45='Buku Besar'!$K$7,Jurnal!$P45,0)</f>
        <v>0</v>
      </c>
      <c r="M53" s="70">
        <f>IF(Jurnal!$Q45='Buku Besar'!$K$7,Jurnal!$S45,0)</f>
        <v>0</v>
      </c>
      <c r="N53" s="69">
        <f t="shared" si="0"/>
        <v>15000000</v>
      </c>
    </row>
    <row r="54" spans="9:14" x14ac:dyDescent="0.25">
      <c r="I54" s="63" t="str">
        <f>IF(OR(Jurnal!$N46='Buku Besar'!$K$7,Jurnal!$Q46='Buku Besar'!$K$7),Jurnal!$J46,"-")</f>
        <v>-</v>
      </c>
      <c r="J54" s="64" t="str">
        <f>IF(OR(Jurnal!$N46='Buku Besar'!$K$7,Jurnal!Q46='Buku Besar'!$K$7),Jurnal!$K46,"-")</f>
        <v>-</v>
      </c>
      <c r="K54" s="63" t="str">
        <f>IF(OR(Jurnal!$N46='Buku Besar'!$K$7,Jurnal!$Q46='Buku Besar'!$K$7),Jurnal!$M46,"-")</f>
        <v>-</v>
      </c>
      <c r="L54" s="70">
        <f>IF(Jurnal!$N46='Buku Besar'!$K$7,Jurnal!$P46,0)</f>
        <v>0</v>
      </c>
      <c r="M54" s="70">
        <f>IF(Jurnal!$Q46='Buku Besar'!$K$7,Jurnal!$S46,0)</f>
        <v>0</v>
      </c>
      <c r="N54" s="69">
        <f t="shared" si="0"/>
        <v>15000000</v>
      </c>
    </row>
    <row r="55" spans="9:14" x14ac:dyDescent="0.25">
      <c r="I55" s="63" t="str">
        <f>IF(OR(Jurnal!$N47='Buku Besar'!$K$7,Jurnal!$Q47='Buku Besar'!$K$7),Jurnal!$J47,"-")</f>
        <v>-</v>
      </c>
      <c r="J55" s="64" t="str">
        <f>IF(OR(Jurnal!$N47='Buku Besar'!$K$7,Jurnal!Q47='Buku Besar'!$K$7),Jurnal!$K47,"-")</f>
        <v>-</v>
      </c>
      <c r="K55" s="63" t="str">
        <f>IF(OR(Jurnal!$N47='Buku Besar'!$K$7,Jurnal!$Q47='Buku Besar'!$K$7),Jurnal!$M47,"-")</f>
        <v>-</v>
      </c>
      <c r="L55" s="70">
        <f>IF(Jurnal!$N47='Buku Besar'!$K$7,Jurnal!$P47,0)</f>
        <v>0</v>
      </c>
      <c r="M55" s="70">
        <f>IF(Jurnal!$Q47='Buku Besar'!$K$7,Jurnal!$S47,0)</f>
        <v>0</v>
      </c>
      <c r="N55" s="69">
        <f t="shared" si="0"/>
        <v>15000000</v>
      </c>
    </row>
    <row r="56" spans="9:14" x14ac:dyDescent="0.25">
      <c r="I56" s="63" t="str">
        <f>IF(OR(Jurnal!$N48='Buku Besar'!$K$7,Jurnal!$Q48='Buku Besar'!$K$7),Jurnal!$J48,"-")</f>
        <v>-</v>
      </c>
      <c r="J56" s="64" t="str">
        <f>IF(OR(Jurnal!$N48='Buku Besar'!$K$7,Jurnal!Q48='Buku Besar'!$K$7),Jurnal!$K48,"-")</f>
        <v>-</v>
      </c>
      <c r="K56" s="63" t="str">
        <f>IF(OR(Jurnal!$N48='Buku Besar'!$K$7,Jurnal!$Q48='Buku Besar'!$K$7),Jurnal!$M48,"-")</f>
        <v>-</v>
      </c>
      <c r="L56" s="70">
        <f>IF(Jurnal!$N48='Buku Besar'!$K$7,Jurnal!$P48,0)</f>
        <v>0</v>
      </c>
      <c r="M56" s="70">
        <f>IF(Jurnal!$Q48='Buku Besar'!$K$7,Jurnal!$S48,0)</f>
        <v>0</v>
      </c>
      <c r="N56" s="69">
        <f t="shared" si="0"/>
        <v>15000000</v>
      </c>
    </row>
    <row r="57" spans="9:14" x14ac:dyDescent="0.25">
      <c r="I57" s="63" t="str">
        <f>IF(OR(Jurnal!$N49='Buku Besar'!$K$7,Jurnal!$Q49='Buku Besar'!$K$7),Jurnal!$J49,"-")</f>
        <v>-</v>
      </c>
      <c r="J57" s="64" t="str">
        <f>IF(OR(Jurnal!$N49='Buku Besar'!$K$7,Jurnal!Q49='Buku Besar'!$K$7),Jurnal!$K49,"-")</f>
        <v>-</v>
      </c>
      <c r="K57" s="63" t="str">
        <f>IF(OR(Jurnal!$N49='Buku Besar'!$K$7,Jurnal!$Q49='Buku Besar'!$K$7),Jurnal!$M49,"-")</f>
        <v>-</v>
      </c>
      <c r="L57" s="70">
        <f>IF(Jurnal!$N49='Buku Besar'!$K$7,Jurnal!$P49,0)</f>
        <v>0</v>
      </c>
      <c r="M57" s="70">
        <f>IF(Jurnal!$Q49='Buku Besar'!$K$7,Jurnal!$S49,0)</f>
        <v>0</v>
      </c>
      <c r="N57" s="69">
        <f t="shared" si="0"/>
        <v>15000000</v>
      </c>
    </row>
    <row r="58" spans="9:14" x14ac:dyDescent="0.25">
      <c r="I58" s="63" t="str">
        <f>IF(OR(Jurnal!$N50='Buku Besar'!$K$7,Jurnal!$Q50='Buku Besar'!$K$7),Jurnal!$J50,"-")</f>
        <v>-</v>
      </c>
      <c r="J58" s="64" t="str">
        <f>IF(OR(Jurnal!$N50='Buku Besar'!$K$7,Jurnal!Q50='Buku Besar'!$K$7),Jurnal!$K50,"-")</f>
        <v>-</v>
      </c>
      <c r="K58" s="63" t="str">
        <f>IF(OR(Jurnal!$N50='Buku Besar'!$K$7,Jurnal!$Q50='Buku Besar'!$K$7),Jurnal!$M50,"-")</f>
        <v>-</v>
      </c>
      <c r="L58" s="70">
        <f>IF(Jurnal!$N50='Buku Besar'!$K$7,Jurnal!$P50,0)</f>
        <v>0</v>
      </c>
      <c r="M58" s="70">
        <f>IF(Jurnal!$Q50='Buku Besar'!$K$7,Jurnal!$S50,0)</f>
        <v>0</v>
      </c>
      <c r="N58" s="69">
        <f t="shared" si="0"/>
        <v>15000000</v>
      </c>
    </row>
    <row r="59" spans="9:14" x14ac:dyDescent="0.25">
      <c r="I59" s="63" t="str">
        <f>IF(OR(Jurnal!$N51='Buku Besar'!$K$7,Jurnal!$Q51='Buku Besar'!$K$7),Jurnal!$J51,"-")</f>
        <v>-</v>
      </c>
      <c r="J59" s="64" t="str">
        <f>IF(OR(Jurnal!$N51='Buku Besar'!$K$7,Jurnal!Q51='Buku Besar'!$K$7),Jurnal!$K51,"-")</f>
        <v>-</v>
      </c>
      <c r="K59" s="63" t="str">
        <f>IF(OR(Jurnal!$N51='Buku Besar'!$K$7,Jurnal!$Q51='Buku Besar'!$K$7),Jurnal!$M51,"-")</f>
        <v>-</v>
      </c>
      <c r="L59" s="70">
        <f>IF(Jurnal!$N51='Buku Besar'!$K$7,Jurnal!$P51,0)</f>
        <v>0</v>
      </c>
      <c r="M59" s="70">
        <f>IF(Jurnal!$Q51='Buku Besar'!$K$7,Jurnal!$S51,0)</f>
        <v>0</v>
      </c>
      <c r="N59" s="69">
        <f t="shared" si="0"/>
        <v>15000000</v>
      </c>
    </row>
    <row r="60" spans="9:14" x14ac:dyDescent="0.25">
      <c r="I60" s="63" t="str">
        <f>IF(OR(Jurnal!$N52='Buku Besar'!$K$7,Jurnal!$Q52='Buku Besar'!$K$7),Jurnal!$J52,"-")</f>
        <v>-</v>
      </c>
      <c r="J60" s="64" t="str">
        <f>IF(OR(Jurnal!$N52='Buku Besar'!$K$7,Jurnal!Q52='Buku Besar'!$K$7),Jurnal!$K52,"-")</f>
        <v>-</v>
      </c>
      <c r="K60" s="63" t="str">
        <f>IF(OR(Jurnal!$N52='Buku Besar'!$K$7,Jurnal!$Q52='Buku Besar'!$K$7),Jurnal!$M52,"-")</f>
        <v>-</v>
      </c>
      <c r="L60" s="70">
        <f>IF(Jurnal!$N52='Buku Besar'!$K$7,Jurnal!$P52,0)</f>
        <v>0</v>
      </c>
      <c r="M60" s="70">
        <f>IF(Jurnal!$Q52='Buku Besar'!$K$7,Jurnal!$S52,0)</f>
        <v>0</v>
      </c>
      <c r="N60" s="69">
        <f t="shared" si="0"/>
        <v>15000000</v>
      </c>
    </row>
    <row r="61" spans="9:14" x14ac:dyDescent="0.25">
      <c r="I61" s="63" t="str">
        <f>IF(OR(Jurnal!$N53='Buku Besar'!$K$7,Jurnal!$Q53='Buku Besar'!$K$7),Jurnal!$J53,"-")</f>
        <v>-</v>
      </c>
      <c r="J61" s="64" t="str">
        <f>IF(OR(Jurnal!$N53='Buku Besar'!$K$7,Jurnal!Q53='Buku Besar'!$K$7),Jurnal!$K53,"-")</f>
        <v>-</v>
      </c>
      <c r="K61" s="63" t="str">
        <f>IF(OR(Jurnal!$N53='Buku Besar'!$K$7,Jurnal!$Q53='Buku Besar'!$K$7),Jurnal!$M53,"-")</f>
        <v>-</v>
      </c>
      <c r="L61" s="70">
        <f>IF(Jurnal!$N53='Buku Besar'!$K$7,Jurnal!$P53,0)</f>
        <v>0</v>
      </c>
      <c r="M61" s="70">
        <f>IF(Jurnal!$Q53='Buku Besar'!$K$7,Jurnal!$S53,0)</f>
        <v>0</v>
      </c>
      <c r="N61" s="69">
        <f t="shared" si="0"/>
        <v>15000000</v>
      </c>
    </row>
    <row r="62" spans="9:14" x14ac:dyDescent="0.25">
      <c r="I62" s="63" t="str">
        <f>IF(OR(Jurnal!$N54='Buku Besar'!$K$7,Jurnal!$Q54='Buku Besar'!$K$7),Jurnal!$J54,"-")</f>
        <v>-</v>
      </c>
      <c r="J62" s="64" t="str">
        <f>IF(OR(Jurnal!$N54='Buku Besar'!$K$7,Jurnal!Q54='Buku Besar'!$K$7),Jurnal!$K54,"-")</f>
        <v>-</v>
      </c>
      <c r="K62" s="63" t="str">
        <f>IF(OR(Jurnal!$N54='Buku Besar'!$K$7,Jurnal!$Q54='Buku Besar'!$K$7),Jurnal!$M54,"-")</f>
        <v>-</v>
      </c>
      <c r="L62" s="70">
        <f>IF(Jurnal!$N54='Buku Besar'!$K$7,Jurnal!$P54,0)</f>
        <v>0</v>
      </c>
      <c r="M62" s="70">
        <f>IF(Jurnal!$Q54='Buku Besar'!$K$7,Jurnal!$S54,0)</f>
        <v>0</v>
      </c>
      <c r="N62" s="69">
        <f t="shared" si="0"/>
        <v>15000000</v>
      </c>
    </row>
  </sheetData>
  <dataConsolidate function="count">
    <dataRefs count="1">
      <dataRef ref="J3:J27" sheet="Buku Besar" r:id="rId1"/>
    </dataRefs>
  </dataConsolidate>
  <mergeCells count="3">
    <mergeCell ref="I3:O3"/>
    <mergeCell ref="I4:O4"/>
    <mergeCell ref="I6:O6"/>
  </mergeCell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Akun'!$P$5:$P$30</xm:f>
          </x14:formula1>
          <xm:sqref>K7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J2:P27"/>
  <sheetViews>
    <sheetView topLeftCell="B19" workbookViewId="0">
      <selection activeCell="N24" sqref="N24"/>
    </sheetView>
  </sheetViews>
  <sheetFormatPr defaultRowHeight="15" x14ac:dyDescent="0.25"/>
  <cols>
    <col min="10" max="10" width="10.7109375" bestFit="1" customWidth="1"/>
    <col min="11" max="11" width="40" bestFit="1" customWidth="1"/>
    <col min="12" max="12" width="19.85546875" bestFit="1" customWidth="1"/>
    <col min="13" max="13" width="20" bestFit="1" customWidth="1"/>
    <col min="14" max="14" width="16.28515625" bestFit="1" customWidth="1"/>
  </cols>
  <sheetData>
    <row r="2" spans="10:16" ht="27" x14ac:dyDescent="0.35">
      <c r="J2" s="126" t="s">
        <v>145</v>
      </c>
      <c r="K2" s="126"/>
      <c r="L2" s="126"/>
      <c r="M2" s="126"/>
      <c r="N2" s="40"/>
      <c r="O2" s="40"/>
      <c r="P2" s="40"/>
    </row>
    <row r="3" spans="10:16" x14ac:dyDescent="0.25">
      <c r="J3" s="127" t="s">
        <v>146</v>
      </c>
      <c r="K3" s="127"/>
      <c r="L3" s="127"/>
      <c r="M3" s="127"/>
      <c r="N3" s="41"/>
      <c r="O3" s="41"/>
      <c r="P3" s="41"/>
    </row>
    <row r="5" spans="10:16" ht="34.5" x14ac:dyDescent="0.55000000000000004">
      <c r="J5" s="128" t="s">
        <v>187</v>
      </c>
      <c r="K5" s="128"/>
      <c r="L5" s="128"/>
      <c r="M5" s="128"/>
      <c r="N5" s="42"/>
      <c r="O5" s="42"/>
      <c r="P5" s="42"/>
    </row>
    <row r="6" spans="10:16" x14ac:dyDescent="0.25">
      <c r="J6" s="90" t="s">
        <v>169</v>
      </c>
      <c r="K6" s="90" t="s">
        <v>168</v>
      </c>
      <c r="L6" s="90" t="s">
        <v>80</v>
      </c>
      <c r="M6" s="90" t="s">
        <v>94</v>
      </c>
    </row>
    <row r="7" spans="10:16" ht="30.75" customHeight="1" thickBot="1" x14ac:dyDescent="0.3">
      <c r="J7" s="129" t="s">
        <v>201</v>
      </c>
      <c r="K7" s="129"/>
      <c r="L7" s="129"/>
      <c r="M7" s="129"/>
    </row>
    <row r="8" spans="10:16" ht="15.75" thickTop="1" x14ac:dyDescent="0.25">
      <c r="J8" s="3" t="s">
        <v>77</v>
      </c>
      <c r="K8" s="3" t="s">
        <v>78</v>
      </c>
      <c r="L8" s="5">
        <f>_xlfn.IFNA(VLOOKUP($J8,'Data Akun'!$E$5:$N$29,9,0),"-")</f>
        <v>15000000</v>
      </c>
      <c r="M8" s="5">
        <f>_xlfn.IFNA(VLOOKUP($J8,'Data Akun'!$E$5:$N$29,10,0),"-")</f>
        <v>0</v>
      </c>
    </row>
    <row r="9" spans="10:16" x14ac:dyDescent="0.25">
      <c r="J9" s="3" t="s">
        <v>64</v>
      </c>
      <c r="K9" s="3" t="s">
        <v>65</v>
      </c>
      <c r="L9" s="5">
        <f>_xlfn.IFNA(VLOOKUP($J9,'Data Akun'!$E$5:$N$29,9,0),"-")</f>
        <v>0</v>
      </c>
      <c r="M9" s="5">
        <f>_xlfn.IFNA(VLOOKUP($J9,'Data Akun'!$E$5:$N$29,10,0),"-")</f>
        <v>0</v>
      </c>
    </row>
    <row r="10" spans="10:16" x14ac:dyDescent="0.25">
      <c r="J10" s="3" t="s">
        <v>62</v>
      </c>
      <c r="K10" s="3" t="s">
        <v>63</v>
      </c>
      <c r="L10" s="5">
        <f>_xlfn.IFNA(VLOOKUP($J10,'Data Akun'!$E$5:$N$29,9,0),"-")</f>
        <v>735000</v>
      </c>
      <c r="M10" s="5">
        <f>_xlfn.IFNA(VLOOKUP($J10,'Data Akun'!$E$5:$N$29,10,0),"-")</f>
        <v>0</v>
      </c>
    </row>
    <row r="11" spans="10:16" x14ac:dyDescent="0.25">
      <c r="J11" s="3" t="s">
        <v>60</v>
      </c>
      <c r="K11" s="3" t="s">
        <v>61</v>
      </c>
      <c r="L11" s="5">
        <f>_xlfn.IFNA(VLOOKUP($J11,'Data Akun'!$E$5:$N$29,9,0),"-")</f>
        <v>0</v>
      </c>
      <c r="M11" s="5">
        <f>_xlfn.IFNA(VLOOKUP($J11,'Data Akun'!$E$5:$N$29,10,0),"-")</f>
        <v>0</v>
      </c>
    </row>
    <row r="12" spans="10:16" x14ac:dyDescent="0.25">
      <c r="J12" s="3" t="s">
        <v>82</v>
      </c>
      <c r="K12" s="3" t="s">
        <v>83</v>
      </c>
      <c r="L12" s="5">
        <f>_xlfn.IFNA(VLOOKUP($J12,'Data Akun'!$E$5:$N$29,9,0),"-")</f>
        <v>270000</v>
      </c>
      <c r="M12" s="5">
        <f>_xlfn.IFNA(VLOOKUP($J12,'Data Akun'!$E$5:$N$29,10,0),"-")</f>
        <v>0</v>
      </c>
    </row>
    <row r="13" spans="10:16" x14ac:dyDescent="0.25">
      <c r="J13" s="3" t="s">
        <v>84</v>
      </c>
      <c r="K13" s="3" t="s">
        <v>85</v>
      </c>
      <c r="L13" s="5">
        <f>_xlfn.IFNA(VLOOKUP($J13,'Data Akun'!$E$5:$N$29,9,0),"-")</f>
        <v>325000</v>
      </c>
      <c r="M13" s="5">
        <f>_xlfn.IFNA(VLOOKUP($J13,'Data Akun'!$E$5:$N$29,10,0),"-")</f>
        <v>0</v>
      </c>
    </row>
    <row r="14" spans="10:16" x14ac:dyDescent="0.25">
      <c r="J14" s="3" t="s">
        <v>86</v>
      </c>
      <c r="K14" s="3" t="s">
        <v>87</v>
      </c>
      <c r="L14" s="5">
        <f>_xlfn.IFNA(VLOOKUP($J14,'Data Akun'!$E$5:$N$29,9,0),"-")</f>
        <v>15000000</v>
      </c>
      <c r="M14" s="5">
        <f>_xlfn.IFNA(VLOOKUP($J14,'Data Akun'!$E$5:$N$29,10,0),"-")</f>
        <v>0</v>
      </c>
    </row>
    <row r="15" spans="10:16" x14ac:dyDescent="0.25">
      <c r="J15" s="3" t="s">
        <v>88</v>
      </c>
      <c r="K15" s="3" t="s">
        <v>89</v>
      </c>
      <c r="L15" s="5">
        <f>_xlfn.IFNA(VLOOKUP($J15,'Data Akun'!$E$5:$N$29,9,0),"-")</f>
        <v>127045000</v>
      </c>
      <c r="M15" s="5">
        <f>_xlfn.IFNA(VLOOKUP($J15,'Data Akun'!$E$5:$N$29,10,0),"-")</f>
        <v>0</v>
      </c>
    </row>
    <row r="16" spans="10:16" x14ac:dyDescent="0.25">
      <c r="J16" s="3" t="s">
        <v>207</v>
      </c>
      <c r="K16" s="3" t="s">
        <v>208</v>
      </c>
      <c r="L16" s="5">
        <f>_xlfn.IFNA(VLOOKUP($J16,'Data Akun'!$E$5:$N$29,9,0),"-")</f>
        <v>0</v>
      </c>
      <c r="M16" s="5">
        <f>_xlfn.IFNA(VLOOKUP($J16,'Data Akun'!$E$5:$N$29,10,0),"-")</f>
        <v>250000</v>
      </c>
    </row>
    <row r="17" spans="10:16" x14ac:dyDescent="0.25">
      <c r="J17" s="3" t="s">
        <v>92</v>
      </c>
      <c r="K17" s="3" t="s">
        <v>93</v>
      </c>
      <c r="L17" s="5">
        <f>_xlfn.IFNA(VLOOKUP($J17,'Data Akun'!$E$5:$N$29,9,0),"-")</f>
        <v>0</v>
      </c>
      <c r="M17" s="5">
        <f>_xlfn.IFNA(VLOOKUP($J17,'Data Akun'!$E$5:$N$29,10,0),"-")</f>
        <v>3125000</v>
      </c>
    </row>
    <row r="18" spans="10:16" ht="15.75" thickBot="1" x14ac:dyDescent="0.3">
      <c r="J18" s="3" t="s">
        <v>90</v>
      </c>
      <c r="K18" s="3" t="s">
        <v>91</v>
      </c>
      <c r="L18" s="5">
        <f>_xlfn.IFNA(VLOOKUP($J18,'Data Akun'!$E$5:$N$29,9,0),"-")</f>
        <v>100000000</v>
      </c>
      <c r="M18" s="5">
        <f>_xlfn.IFNA(VLOOKUP($J18,'Data Akun'!$E$5:$N$29,10,0),"-")</f>
        <v>0</v>
      </c>
    </row>
    <row r="19" spans="10:16" ht="29.25" thickTop="1" thickBot="1" x14ac:dyDescent="0.3">
      <c r="J19" s="130" t="s">
        <v>202</v>
      </c>
      <c r="K19" s="130"/>
      <c r="L19" s="130"/>
      <c r="M19" s="130"/>
    </row>
    <row r="20" spans="10:16" ht="15.75" thickTop="1" x14ac:dyDescent="0.25">
      <c r="J20" s="93" t="s">
        <v>95</v>
      </c>
      <c r="K20" s="93" t="s">
        <v>96</v>
      </c>
      <c r="L20" s="94">
        <f>_xlfn.IFNA(VLOOKUP($J20,'Data Akun'!$E$5:$N$29,9,0),"-")</f>
        <v>0</v>
      </c>
      <c r="M20" s="94">
        <f>_xlfn.IFNA(VLOOKUP($J20,'Data Akun'!$E$5:$N$29,10,0),"-")</f>
        <v>0</v>
      </c>
    </row>
    <row r="21" spans="10:16" x14ac:dyDescent="0.25">
      <c r="J21" s="3" t="s">
        <v>98</v>
      </c>
      <c r="K21" s="3" t="s">
        <v>99</v>
      </c>
      <c r="L21" s="94">
        <f>_xlfn.IFNA(VLOOKUP($J21,'Data Akun'!$E$5:$N$29,9,0),"-")</f>
        <v>0</v>
      </c>
      <c r="M21" s="94">
        <f>_xlfn.IFNA(VLOOKUP($J21,'Data Akun'!$E$5:$N$29,10,0),"-")</f>
        <v>0</v>
      </c>
    </row>
    <row r="22" spans="10:16" ht="15.75" thickBot="1" x14ac:dyDescent="0.3">
      <c r="J22" s="3" t="s">
        <v>100</v>
      </c>
      <c r="K22" s="3" t="s">
        <v>101</v>
      </c>
      <c r="L22" s="5">
        <f>_xlfn.IFNA(VLOOKUP($J22,'Data Akun'!$E$5:$N$29,9,0),"-")</f>
        <v>0</v>
      </c>
      <c r="M22" s="5">
        <f>_xlfn.IFNA(VLOOKUP($J22,'Data Akun'!$E$5:$N$29,10,0),"-")</f>
        <v>0</v>
      </c>
    </row>
    <row r="23" spans="10:16" ht="29.25" thickTop="1" thickBot="1" x14ac:dyDescent="0.3">
      <c r="J23" s="130" t="s">
        <v>174</v>
      </c>
      <c r="K23" s="130"/>
      <c r="L23" s="130"/>
      <c r="M23" s="130"/>
      <c r="P23" s="89"/>
    </row>
    <row r="24" spans="10:16" ht="15.75" thickTop="1" x14ac:dyDescent="0.25">
      <c r="J24" s="3" t="s">
        <v>102</v>
      </c>
      <c r="K24" s="3" t="s">
        <v>103</v>
      </c>
      <c r="L24" s="5">
        <f>_xlfn.IFNA(VLOOKUP($J24,'Data Akun'!$E$5:$N$29,9,0),"-")</f>
        <v>0</v>
      </c>
      <c r="M24" s="5">
        <f>_xlfn.IFNA(VLOOKUP($J24,'Data Akun'!$E$5:$N$29,10,0),"-")+Laba_Rugi!J23</f>
        <v>255000000</v>
      </c>
    </row>
    <row r="25" spans="10:16" x14ac:dyDescent="0.25">
      <c r="J25" s="3" t="s">
        <v>104</v>
      </c>
      <c r="K25" s="3" t="s">
        <v>105</v>
      </c>
      <c r="L25" s="5">
        <f>_xlfn.IFNA(VLOOKUP($J25,'Data Akun'!$E$5:$N$29,9,0),"-")</f>
        <v>0</v>
      </c>
      <c r="M25" s="5">
        <f>_xlfn.IFNA(VLOOKUP($J25,'Data Akun'!$E$5:$N$29,10,0),"-")</f>
        <v>0</v>
      </c>
    </row>
    <row r="26" spans="10:16" x14ac:dyDescent="0.25">
      <c r="J26" s="86"/>
      <c r="K26" s="86"/>
      <c r="L26" s="86"/>
      <c r="M26" s="86"/>
    </row>
    <row r="27" spans="10:16" ht="27.75" x14ac:dyDescent="0.25">
      <c r="J27" s="131" t="s">
        <v>203</v>
      </c>
      <c r="K27" s="131"/>
      <c r="L27" s="88">
        <f>SUM(L8:L18,L20:L22,L24:L25)</f>
        <v>258375000</v>
      </c>
      <c r="M27" s="88">
        <f>SUM(M8:M18,M20:M22,M24:M25)</f>
        <v>258375000</v>
      </c>
      <c r="N27" s="88" t="str">
        <f>IF(L27&gt;M27,L27-M27,IF(L27&lt;M27,M27-L27,"BALANCE"))</f>
        <v>BALANCE</v>
      </c>
    </row>
  </sheetData>
  <mergeCells count="7">
    <mergeCell ref="J7:M7"/>
    <mergeCell ref="J19:M19"/>
    <mergeCell ref="J23:M23"/>
    <mergeCell ref="J27:K27"/>
    <mergeCell ref="J2:M2"/>
    <mergeCell ref="J5:M5"/>
    <mergeCell ref="J3:M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9:L35"/>
  <sheetViews>
    <sheetView workbookViewId="0">
      <selection activeCell="M13" sqref="M13"/>
    </sheetView>
  </sheetViews>
  <sheetFormatPr defaultRowHeight="15" x14ac:dyDescent="0.25"/>
  <cols>
    <col min="1" max="1" width="23.5703125" bestFit="1" customWidth="1"/>
    <col min="2" max="2" width="9.140625" bestFit="1" customWidth="1"/>
    <col min="3" max="3" width="12" bestFit="1" customWidth="1"/>
    <col min="4" max="4" width="21.140625" bestFit="1" customWidth="1"/>
    <col min="5" max="5" width="16.140625" bestFit="1" customWidth="1"/>
    <col min="7" max="7" width="23.5703125" bestFit="1" customWidth="1"/>
    <col min="8" max="8" width="9.140625" bestFit="1" customWidth="1"/>
    <col min="9" max="9" width="12" bestFit="1" customWidth="1"/>
    <col min="10" max="10" width="21.140625" bestFit="1" customWidth="1"/>
    <col min="11" max="11" width="16.42578125" bestFit="1" customWidth="1"/>
  </cols>
  <sheetData>
    <row r="9" spans="1:12" ht="15.75" x14ac:dyDescent="0.25">
      <c r="A9" s="133" t="s">
        <v>188</v>
      </c>
      <c r="B9" s="133"/>
      <c r="C9" s="133"/>
      <c r="D9" s="72"/>
      <c r="E9" s="72"/>
      <c r="G9" s="134" t="s">
        <v>189</v>
      </c>
      <c r="H9" s="134"/>
      <c r="I9" s="134"/>
      <c r="J9" s="73"/>
      <c r="K9" s="73"/>
    </row>
    <row r="10" spans="1:12" x14ac:dyDescent="0.25">
      <c r="A10" s="132" t="s">
        <v>190</v>
      </c>
      <c r="B10" s="132"/>
      <c r="C10" s="132"/>
      <c r="D10" s="14"/>
      <c r="E10" s="14"/>
      <c r="G10" s="135" t="s">
        <v>190</v>
      </c>
      <c r="H10" s="135"/>
      <c r="I10" s="135"/>
      <c r="J10" s="74"/>
      <c r="K10" s="74"/>
      <c r="L10" s="83"/>
    </row>
    <row r="11" spans="1:12" x14ac:dyDescent="0.25">
      <c r="A11" s="132" t="s">
        <v>191</v>
      </c>
      <c r="B11" s="132"/>
      <c r="C11" s="132"/>
      <c r="D11" s="14"/>
      <c r="E11" s="14"/>
      <c r="G11" s="135" t="s">
        <v>191</v>
      </c>
      <c r="H11" s="135"/>
      <c r="I11" s="135"/>
      <c r="J11" s="74"/>
      <c r="K11" s="74"/>
    </row>
    <row r="12" spans="1:12" x14ac:dyDescent="0.25">
      <c r="H12" s="75"/>
      <c r="I12" s="75"/>
    </row>
    <row r="13" spans="1:12" x14ac:dyDescent="0.25">
      <c r="A13" s="76" t="s">
        <v>59</v>
      </c>
      <c r="B13" s="76" t="s">
        <v>17</v>
      </c>
      <c r="C13" s="76" t="s">
        <v>18</v>
      </c>
      <c r="D13" s="76" t="s">
        <v>192</v>
      </c>
      <c r="E13" s="76" t="s">
        <v>19</v>
      </c>
      <c r="G13" s="76" t="s">
        <v>59</v>
      </c>
      <c r="H13" s="76" t="s">
        <v>17</v>
      </c>
      <c r="I13" s="76" t="s">
        <v>18</v>
      </c>
      <c r="J13" s="76" t="s">
        <v>192</v>
      </c>
      <c r="K13" s="76" t="s">
        <v>19</v>
      </c>
    </row>
    <row r="14" spans="1:12" x14ac:dyDescent="0.25">
      <c r="A14" s="77" t="s">
        <v>193</v>
      </c>
      <c r="B14" s="77"/>
      <c r="C14" s="77"/>
      <c r="D14" s="77"/>
      <c r="E14" s="77"/>
      <c r="G14" s="77" t="s">
        <v>193</v>
      </c>
      <c r="H14" s="77"/>
      <c r="I14" s="77"/>
      <c r="J14" s="77"/>
      <c r="K14" s="77"/>
    </row>
    <row r="15" spans="1:12" x14ac:dyDescent="0.25">
      <c r="A15" s="77" t="s">
        <v>194</v>
      </c>
      <c r="B15" s="78" t="s">
        <v>195</v>
      </c>
      <c r="C15" s="78">
        <v>2.5</v>
      </c>
      <c r="D15" s="79">
        <f>'Data Barang'!I7</f>
        <v>150000</v>
      </c>
      <c r="E15" s="79">
        <f>D15*C15</f>
        <v>375000</v>
      </c>
      <c r="G15" s="77" t="s">
        <v>194</v>
      </c>
      <c r="H15" s="78" t="s">
        <v>195</v>
      </c>
      <c r="I15" s="78">
        <v>2.5</v>
      </c>
      <c r="J15" s="79">
        <f>'Data Barang'!I8</f>
        <v>100000</v>
      </c>
      <c r="K15" s="79">
        <f>J15*I15</f>
        <v>250000</v>
      </c>
    </row>
    <row r="16" spans="1:12" x14ac:dyDescent="0.25">
      <c r="A16" s="77" t="s">
        <v>51</v>
      </c>
      <c r="B16" s="78" t="s">
        <v>196</v>
      </c>
      <c r="C16" s="78">
        <v>4</v>
      </c>
      <c r="D16" s="79">
        <f>'Data Barang'!I9</f>
        <v>1500</v>
      </c>
      <c r="E16" s="79">
        <f t="shared" ref="E16:E20" si="0">D16*C16</f>
        <v>6000</v>
      </c>
      <c r="F16" s="10"/>
      <c r="G16" s="77" t="s">
        <v>51</v>
      </c>
      <c r="H16" s="78" t="s">
        <v>196</v>
      </c>
      <c r="I16" s="78">
        <v>4</v>
      </c>
      <c r="J16" s="79">
        <f>'Data Barang'!I9</f>
        <v>1500</v>
      </c>
      <c r="K16" s="79">
        <f t="shared" ref="K16:K17" si="1">J16*I16</f>
        <v>6000</v>
      </c>
    </row>
    <row r="17" spans="1:11" x14ac:dyDescent="0.25">
      <c r="A17" s="77" t="s">
        <v>197</v>
      </c>
      <c r="B17" s="78" t="s">
        <v>196</v>
      </c>
      <c r="C17" s="78">
        <v>20</v>
      </c>
      <c r="D17" s="79">
        <f>'Data Barang'!I10</f>
        <v>5000</v>
      </c>
      <c r="E17" s="79">
        <f t="shared" si="0"/>
        <v>100000</v>
      </c>
      <c r="F17" s="10"/>
      <c r="G17" s="77" t="s">
        <v>197</v>
      </c>
      <c r="H17" s="78" t="s">
        <v>196</v>
      </c>
      <c r="I17" s="78">
        <v>20</v>
      </c>
      <c r="J17" s="79">
        <f>'Data Barang'!I10</f>
        <v>5000</v>
      </c>
      <c r="K17" s="79">
        <f t="shared" si="1"/>
        <v>100000</v>
      </c>
    </row>
    <row r="18" spans="1:11" x14ac:dyDescent="0.25">
      <c r="A18" s="77" t="s">
        <v>198</v>
      </c>
      <c r="B18" s="78"/>
      <c r="C18" s="78"/>
      <c r="D18" s="79"/>
      <c r="E18" s="79"/>
      <c r="F18" s="10"/>
      <c r="G18" s="77" t="s">
        <v>198</v>
      </c>
      <c r="H18" s="78"/>
      <c r="I18" s="78"/>
      <c r="J18" s="79"/>
      <c r="K18" s="79"/>
    </row>
    <row r="19" spans="1:11" x14ac:dyDescent="0.25">
      <c r="A19" s="77" t="s">
        <v>54</v>
      </c>
      <c r="B19" s="78" t="s">
        <v>196</v>
      </c>
      <c r="C19" s="78">
        <v>20</v>
      </c>
      <c r="D19" s="79">
        <f>'Data Barang'!I5</f>
        <v>2000</v>
      </c>
      <c r="E19" s="79">
        <f t="shared" si="0"/>
        <v>40000</v>
      </c>
      <c r="F19" s="10"/>
      <c r="G19" s="77" t="s">
        <v>54</v>
      </c>
      <c r="H19" s="78" t="s">
        <v>196</v>
      </c>
      <c r="I19" s="78">
        <v>20</v>
      </c>
      <c r="J19" s="79">
        <f>'Data Barang'!I5</f>
        <v>2000</v>
      </c>
      <c r="K19" s="79">
        <f t="shared" ref="K19:K20" si="2">J19*I19</f>
        <v>40000</v>
      </c>
    </row>
    <row r="20" spans="1:11" x14ac:dyDescent="0.25">
      <c r="A20" s="77" t="s">
        <v>55</v>
      </c>
      <c r="B20" s="78" t="s">
        <v>196</v>
      </c>
      <c r="C20" s="78">
        <v>20</v>
      </c>
      <c r="D20" s="79">
        <f>'Data Barang'!I6</f>
        <v>200</v>
      </c>
      <c r="E20" s="79">
        <f t="shared" si="0"/>
        <v>4000</v>
      </c>
      <c r="F20" s="10"/>
      <c r="G20" s="77" t="s">
        <v>55</v>
      </c>
      <c r="H20" s="78" t="s">
        <v>196</v>
      </c>
      <c r="I20" s="78">
        <v>20</v>
      </c>
      <c r="J20" s="79">
        <f>'Data Barang'!I6</f>
        <v>200</v>
      </c>
      <c r="K20" s="79">
        <f t="shared" si="2"/>
        <v>4000</v>
      </c>
    </row>
    <row r="21" spans="1:11" x14ac:dyDescent="0.25">
      <c r="A21" s="10"/>
      <c r="B21" s="10"/>
      <c r="C21" s="10"/>
      <c r="D21" s="80" t="s">
        <v>199</v>
      </c>
      <c r="E21" s="81">
        <f>SUM(E15:E20)</f>
        <v>525000</v>
      </c>
      <c r="F21" s="10"/>
      <c r="G21" s="10"/>
      <c r="H21" s="10"/>
      <c r="I21" s="10"/>
      <c r="J21" s="80" t="s">
        <v>199</v>
      </c>
      <c r="K21" s="81">
        <f>SUM(K15:K20)</f>
        <v>400000</v>
      </c>
    </row>
    <row r="22" spans="1:11" x14ac:dyDescent="0.25">
      <c r="A22" s="10"/>
      <c r="B22" s="10"/>
      <c r="C22" s="10"/>
      <c r="D22" s="10" t="s">
        <v>200</v>
      </c>
      <c r="E22" s="82">
        <f>E21/20</f>
        <v>26250</v>
      </c>
      <c r="F22" s="10"/>
      <c r="G22" s="10"/>
      <c r="H22" s="10"/>
      <c r="I22" s="10"/>
      <c r="J22" s="10" t="s">
        <v>200</v>
      </c>
      <c r="K22" s="82">
        <f>K21/20</f>
        <v>20000</v>
      </c>
    </row>
    <row r="23" spans="1:11" x14ac:dyDescent="0.25">
      <c r="A23" s="10"/>
      <c r="B23" s="10"/>
      <c r="C23" s="10"/>
      <c r="D23" s="10"/>
      <c r="E23" s="82"/>
      <c r="F23" s="10"/>
    </row>
    <row r="24" spans="1:11" ht="15.75" x14ac:dyDescent="0.25">
      <c r="A24" s="133" t="s">
        <v>188</v>
      </c>
      <c r="B24" s="133"/>
      <c r="C24" s="133"/>
      <c r="D24" s="10"/>
      <c r="E24" s="82"/>
      <c r="F24" s="10"/>
      <c r="G24" s="133" t="s">
        <v>188</v>
      </c>
      <c r="H24" s="133"/>
      <c r="I24" s="133"/>
    </row>
    <row r="25" spans="1:11" x14ac:dyDescent="0.25">
      <c r="A25" s="132" t="s">
        <v>205</v>
      </c>
      <c r="B25" s="132"/>
      <c r="C25" s="132"/>
      <c r="D25" s="10"/>
      <c r="E25" s="82"/>
      <c r="F25" s="10"/>
      <c r="G25" s="132" t="s">
        <v>205</v>
      </c>
      <c r="H25" s="132"/>
      <c r="I25" s="132"/>
    </row>
    <row r="27" spans="1:11" x14ac:dyDescent="0.25">
      <c r="A27" s="76" t="s">
        <v>59</v>
      </c>
      <c r="B27" s="76" t="s">
        <v>17</v>
      </c>
      <c r="C27" s="76" t="s">
        <v>18</v>
      </c>
      <c r="D27" s="76" t="s">
        <v>192</v>
      </c>
      <c r="E27" s="76" t="s">
        <v>19</v>
      </c>
      <c r="G27" s="76" t="s">
        <v>59</v>
      </c>
      <c r="H27" s="76" t="s">
        <v>17</v>
      </c>
      <c r="I27" s="76" t="s">
        <v>18</v>
      </c>
      <c r="J27" s="76" t="s">
        <v>192</v>
      </c>
      <c r="K27" s="76" t="s">
        <v>19</v>
      </c>
    </row>
    <row r="28" spans="1:11" x14ac:dyDescent="0.25">
      <c r="A28" s="77" t="s">
        <v>193</v>
      </c>
      <c r="B28" s="77"/>
      <c r="C28" s="77"/>
      <c r="D28" s="77"/>
      <c r="E28" s="77"/>
      <c r="G28" s="77" t="s">
        <v>193</v>
      </c>
      <c r="H28" s="77"/>
      <c r="I28" s="77"/>
      <c r="J28" s="77"/>
      <c r="K28" s="77"/>
    </row>
    <row r="29" spans="1:11" x14ac:dyDescent="0.25">
      <c r="A29" s="77" t="s">
        <v>194</v>
      </c>
      <c r="B29" s="78" t="s">
        <v>195</v>
      </c>
      <c r="C29" s="102">
        <f>C15/20</f>
        <v>0.125</v>
      </c>
      <c r="D29" s="79">
        <f>D15</f>
        <v>150000</v>
      </c>
      <c r="E29" s="79">
        <f>D29*C29</f>
        <v>18750</v>
      </c>
      <c r="G29" s="77" t="s">
        <v>194</v>
      </c>
      <c r="H29" s="78" t="s">
        <v>195</v>
      </c>
      <c r="I29" s="102">
        <f>I15/20</f>
        <v>0.125</v>
      </c>
      <c r="J29" s="79">
        <f>J15</f>
        <v>100000</v>
      </c>
      <c r="K29" s="79">
        <f>J29*I29</f>
        <v>12500</v>
      </c>
    </row>
    <row r="30" spans="1:11" x14ac:dyDescent="0.25">
      <c r="A30" s="77" t="s">
        <v>51</v>
      </c>
      <c r="B30" s="78" t="s">
        <v>196</v>
      </c>
      <c r="C30" s="78">
        <f t="shared" ref="C30:C34" si="3">C16/20</f>
        <v>0.2</v>
      </c>
      <c r="D30" s="79">
        <f t="shared" ref="D30:D31" si="4">D16</f>
        <v>1500</v>
      </c>
      <c r="E30" s="79">
        <f t="shared" ref="E30:E31" si="5">D30*C30</f>
        <v>300</v>
      </c>
      <c r="G30" s="77" t="s">
        <v>51</v>
      </c>
      <c r="H30" s="78" t="s">
        <v>196</v>
      </c>
      <c r="I30" s="103">
        <f t="shared" ref="I30:I34" si="6">I16/20</f>
        <v>0.2</v>
      </c>
      <c r="J30" s="79">
        <f t="shared" ref="J30:J34" si="7">J16</f>
        <v>1500</v>
      </c>
      <c r="K30" s="79">
        <f t="shared" ref="K30:K31" si="8">J30*I30</f>
        <v>300</v>
      </c>
    </row>
    <row r="31" spans="1:11" x14ac:dyDescent="0.25">
      <c r="A31" s="77" t="s">
        <v>197</v>
      </c>
      <c r="B31" s="78" t="s">
        <v>196</v>
      </c>
      <c r="C31" s="78">
        <f t="shared" si="3"/>
        <v>1</v>
      </c>
      <c r="D31" s="79">
        <f t="shared" si="4"/>
        <v>5000</v>
      </c>
      <c r="E31" s="79">
        <f t="shared" si="5"/>
        <v>5000</v>
      </c>
      <c r="G31" s="77" t="s">
        <v>197</v>
      </c>
      <c r="H31" s="78" t="s">
        <v>196</v>
      </c>
      <c r="I31" s="104">
        <f t="shared" si="6"/>
        <v>1</v>
      </c>
      <c r="J31" s="79">
        <f t="shared" si="7"/>
        <v>5000</v>
      </c>
      <c r="K31" s="79">
        <f t="shared" si="8"/>
        <v>5000</v>
      </c>
    </row>
    <row r="32" spans="1:11" x14ac:dyDescent="0.25">
      <c r="A32" s="77" t="s">
        <v>198</v>
      </c>
      <c r="B32" s="78"/>
      <c r="C32" s="78"/>
      <c r="D32" s="79"/>
      <c r="E32" s="79"/>
      <c r="G32" s="77" t="s">
        <v>198</v>
      </c>
      <c r="H32" s="78"/>
      <c r="I32" s="78"/>
      <c r="J32" s="79"/>
      <c r="K32" s="79"/>
    </row>
    <row r="33" spans="1:11" x14ac:dyDescent="0.25">
      <c r="A33" s="77" t="s">
        <v>54</v>
      </c>
      <c r="B33" s="78" t="s">
        <v>196</v>
      </c>
      <c r="C33" s="78">
        <f t="shared" si="3"/>
        <v>1</v>
      </c>
      <c r="D33" s="79">
        <f>D19</f>
        <v>2000</v>
      </c>
      <c r="E33" s="79">
        <f t="shared" ref="E33:E34" si="9">D33*C33</f>
        <v>2000</v>
      </c>
      <c r="G33" s="77" t="s">
        <v>54</v>
      </c>
      <c r="H33" s="78" t="s">
        <v>196</v>
      </c>
      <c r="I33" s="104">
        <f t="shared" si="6"/>
        <v>1</v>
      </c>
      <c r="J33" s="79">
        <f t="shared" si="7"/>
        <v>2000</v>
      </c>
      <c r="K33" s="79">
        <f t="shared" ref="K33:K34" si="10">J33*I33</f>
        <v>2000</v>
      </c>
    </row>
    <row r="34" spans="1:11" x14ac:dyDescent="0.25">
      <c r="A34" s="77" t="s">
        <v>55</v>
      </c>
      <c r="B34" s="78" t="s">
        <v>196</v>
      </c>
      <c r="C34" s="78">
        <f t="shared" si="3"/>
        <v>1</v>
      </c>
      <c r="D34" s="79">
        <f>D20</f>
        <v>200</v>
      </c>
      <c r="E34" s="79">
        <f t="shared" si="9"/>
        <v>200</v>
      </c>
      <c r="G34" s="77" t="s">
        <v>55</v>
      </c>
      <c r="H34" s="78" t="s">
        <v>196</v>
      </c>
      <c r="I34" s="104">
        <f t="shared" si="6"/>
        <v>1</v>
      </c>
      <c r="J34" s="79">
        <f t="shared" si="7"/>
        <v>200</v>
      </c>
      <c r="K34" s="79">
        <f t="shared" si="10"/>
        <v>200</v>
      </c>
    </row>
    <row r="35" spans="1:11" x14ac:dyDescent="0.25">
      <c r="A35" s="10"/>
      <c r="B35" s="10"/>
      <c r="C35" s="10"/>
      <c r="D35" s="80" t="s">
        <v>206</v>
      </c>
      <c r="E35" s="81">
        <f>SUM(E29:E34)</f>
        <v>26250</v>
      </c>
      <c r="G35" s="10"/>
      <c r="H35" s="10"/>
      <c r="I35" s="10"/>
      <c r="J35" s="80" t="s">
        <v>206</v>
      </c>
      <c r="K35" s="81">
        <f>SUM(K29:K34)</f>
        <v>20000</v>
      </c>
    </row>
  </sheetData>
  <mergeCells count="10">
    <mergeCell ref="A25:C25"/>
    <mergeCell ref="A24:C24"/>
    <mergeCell ref="G24:I24"/>
    <mergeCell ref="G25:I25"/>
    <mergeCell ref="A9:C9"/>
    <mergeCell ref="G9:I9"/>
    <mergeCell ref="A10:C10"/>
    <mergeCell ref="G10:I10"/>
    <mergeCell ref="A11:C11"/>
    <mergeCell ref="G11:I1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topLeftCell="C1" zoomScale="90" zoomScaleNormal="90" workbookViewId="0">
      <selection activeCell="L45" sqref="L45"/>
    </sheetView>
  </sheetViews>
  <sheetFormatPr defaultRowHeight="15" x14ac:dyDescent="0.25"/>
  <cols>
    <col min="1" max="1" width="15.7109375" customWidth="1"/>
    <col min="2" max="2" width="11.85546875" bestFit="1" customWidth="1"/>
    <col min="3" max="3" width="20.42578125" bestFit="1" customWidth="1"/>
    <col min="4" max="4" width="3.5703125" customWidth="1"/>
    <col min="5" max="5" width="10" style="11" bestFit="1" customWidth="1"/>
    <col min="6" max="6" width="40" style="11" bestFit="1" customWidth="1"/>
    <col min="7" max="7" width="15.28515625" style="11" bestFit="1" customWidth="1"/>
    <col min="8" max="8" width="8.28515625" style="11" bestFit="1" customWidth="1"/>
    <col min="9" max="9" width="9.85546875" style="11" bestFit="1" customWidth="1"/>
    <col min="10" max="10" width="12.42578125" style="11" bestFit="1" customWidth="1"/>
    <col min="11" max="11" width="18.140625" style="11" bestFit="1" customWidth="1"/>
    <col min="12" max="12" width="20.28515625" style="11" bestFit="1" customWidth="1"/>
    <col min="13" max="13" width="20" style="11" bestFit="1" customWidth="1"/>
    <col min="14" max="14" width="20.28515625" style="11" bestFit="1" customWidth="1"/>
    <col min="16" max="16" width="40.42578125" bestFit="1" customWidth="1"/>
    <col min="17" max="17" width="10" bestFit="1" customWidth="1"/>
    <col min="18" max="18" width="15.28515625" bestFit="1" customWidth="1"/>
    <col min="20" max="20" width="9.5703125" bestFit="1" customWidth="1"/>
    <col min="21" max="21" width="12.42578125" bestFit="1" customWidth="1"/>
    <col min="22" max="23" width="18.140625" bestFit="1" customWidth="1"/>
    <col min="24" max="24" width="18" bestFit="1" customWidth="1"/>
    <col min="25" max="25" width="18.140625" bestFit="1" customWidth="1"/>
  </cols>
  <sheetData>
    <row r="1" spans="1:25" x14ac:dyDescent="0.25">
      <c r="A1" s="1"/>
      <c r="B1" s="1"/>
      <c r="C1" s="1"/>
      <c r="E1"/>
      <c r="F1"/>
      <c r="G1"/>
      <c r="H1"/>
      <c r="I1"/>
      <c r="J1"/>
      <c r="K1"/>
      <c r="L1"/>
      <c r="M1"/>
      <c r="N1"/>
    </row>
    <row r="2" spans="1:25" ht="27.75" x14ac:dyDescent="0.25">
      <c r="A2" s="1"/>
      <c r="B2" s="1"/>
      <c r="C2" s="1"/>
      <c r="E2" s="138" t="s">
        <v>76</v>
      </c>
      <c r="F2" s="138"/>
      <c r="G2" s="138"/>
      <c r="H2" s="138"/>
      <c r="I2" s="138"/>
      <c r="J2" s="138"/>
      <c r="K2" s="138"/>
      <c r="L2" s="138"/>
      <c r="M2" s="138"/>
      <c r="N2" s="138"/>
    </row>
    <row r="3" spans="1:25" x14ac:dyDescent="0.25">
      <c r="A3" s="1"/>
      <c r="B3" s="1"/>
      <c r="C3" s="1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25" x14ac:dyDescent="0.25">
      <c r="A4" s="1"/>
      <c r="B4" s="1"/>
      <c r="C4" s="1"/>
      <c r="E4" s="15" t="s">
        <v>70</v>
      </c>
      <c r="F4" s="15" t="s">
        <v>56</v>
      </c>
      <c r="G4" s="15" t="s">
        <v>71</v>
      </c>
      <c r="H4" s="15" t="s">
        <v>72</v>
      </c>
      <c r="I4" s="15" t="s">
        <v>35</v>
      </c>
      <c r="J4" s="15" t="s">
        <v>73</v>
      </c>
      <c r="K4" s="15" t="s">
        <v>74</v>
      </c>
      <c r="L4" s="15" t="s">
        <v>75</v>
      </c>
      <c r="M4" s="15" t="s">
        <v>57</v>
      </c>
      <c r="N4" s="15" t="s">
        <v>58</v>
      </c>
      <c r="P4" s="96" t="s">
        <v>56</v>
      </c>
      <c r="Q4" s="96" t="s">
        <v>70</v>
      </c>
      <c r="R4" s="96" t="s">
        <v>71</v>
      </c>
      <c r="S4" s="96" t="s">
        <v>72</v>
      </c>
      <c r="T4" s="96" t="s">
        <v>35</v>
      </c>
      <c r="U4" s="96" t="s">
        <v>73</v>
      </c>
      <c r="V4" s="96" t="s">
        <v>74</v>
      </c>
      <c r="W4" s="96" t="s">
        <v>75</v>
      </c>
      <c r="X4" s="96" t="s">
        <v>57</v>
      </c>
      <c r="Y4" s="96" t="s">
        <v>58</v>
      </c>
    </row>
    <row r="5" spans="1:25" x14ac:dyDescent="0.25">
      <c r="A5" s="1"/>
      <c r="B5" s="1"/>
      <c r="C5" s="1"/>
      <c r="E5" s="3" t="s">
        <v>77</v>
      </c>
      <c r="F5" s="12" t="s">
        <v>78</v>
      </c>
      <c r="G5" s="12" t="s">
        <v>79</v>
      </c>
      <c r="H5" s="3" t="s">
        <v>80</v>
      </c>
      <c r="I5" s="4">
        <v>1</v>
      </c>
      <c r="J5" s="3" t="s">
        <v>81</v>
      </c>
      <c r="K5" s="100">
        <v>15000000</v>
      </c>
      <c r="L5" s="100">
        <v>15000000</v>
      </c>
      <c r="M5" s="100">
        <f>IF($H5="DEBIT",$L5,0)</f>
        <v>15000000</v>
      </c>
      <c r="N5" s="100">
        <f>IF($H5="KREDIT",$L5,0)</f>
        <v>0</v>
      </c>
      <c r="P5" s="97" t="s">
        <v>78</v>
      </c>
      <c r="Q5" s="97" t="s">
        <v>77</v>
      </c>
      <c r="R5" s="97" t="s">
        <v>79</v>
      </c>
      <c r="S5" s="97" t="s">
        <v>80</v>
      </c>
      <c r="T5" s="98">
        <v>1</v>
      </c>
      <c r="U5" s="97" t="s">
        <v>81</v>
      </c>
      <c r="V5" s="99">
        <f>K5</f>
        <v>15000000</v>
      </c>
      <c r="W5" s="99">
        <f>L5</f>
        <v>15000000</v>
      </c>
      <c r="X5" s="99">
        <f>M5</f>
        <v>15000000</v>
      </c>
      <c r="Y5" s="99">
        <f>N5</f>
        <v>0</v>
      </c>
    </row>
    <row r="6" spans="1:25" x14ac:dyDescent="0.25">
      <c r="A6" s="1"/>
      <c r="B6" s="1"/>
      <c r="C6" s="1"/>
      <c r="E6" s="3" t="s">
        <v>64</v>
      </c>
      <c r="F6" s="3" t="s">
        <v>65</v>
      </c>
      <c r="G6" s="3" t="s">
        <v>79</v>
      </c>
      <c r="H6" s="3" t="s">
        <v>80</v>
      </c>
      <c r="I6" s="4">
        <v>1</v>
      </c>
      <c r="J6" s="3" t="s">
        <v>81</v>
      </c>
      <c r="K6" s="100">
        <v>0</v>
      </c>
      <c r="L6" s="100">
        <v>0</v>
      </c>
      <c r="M6" s="100">
        <f t="shared" ref="M6:M29" si="0">IF($H6="DEBIT",$L6,0)</f>
        <v>0</v>
      </c>
      <c r="N6" s="100">
        <f t="shared" ref="N6:N29" si="1">IF($H6="KREDIT",$L6,0)</f>
        <v>0</v>
      </c>
      <c r="P6" s="97" t="s">
        <v>65</v>
      </c>
      <c r="Q6" s="97" t="s">
        <v>64</v>
      </c>
      <c r="R6" s="97" t="s">
        <v>79</v>
      </c>
      <c r="S6" s="97" t="s">
        <v>80</v>
      </c>
      <c r="T6" s="98">
        <v>1</v>
      </c>
      <c r="U6" s="97" t="s">
        <v>81</v>
      </c>
      <c r="V6" s="99">
        <f t="shared" ref="V6:V30" si="2">K6</f>
        <v>0</v>
      </c>
      <c r="W6" s="99">
        <f t="shared" ref="W6:W30" si="3">L6</f>
        <v>0</v>
      </c>
      <c r="X6" s="99">
        <f t="shared" ref="X6:X30" si="4">M6</f>
        <v>0</v>
      </c>
      <c r="Y6" s="99">
        <f t="shared" ref="Y6:Y30" si="5">N6</f>
        <v>0</v>
      </c>
    </row>
    <row r="7" spans="1:25" x14ac:dyDescent="0.25">
      <c r="E7" s="3" t="s">
        <v>62</v>
      </c>
      <c r="F7" s="3" t="s">
        <v>63</v>
      </c>
      <c r="G7" s="3" t="s">
        <v>79</v>
      </c>
      <c r="H7" s="3" t="s">
        <v>80</v>
      </c>
      <c r="I7" s="4">
        <v>1</v>
      </c>
      <c r="J7" s="3" t="s">
        <v>81</v>
      </c>
      <c r="K7" s="100">
        <v>735000</v>
      </c>
      <c r="L7" s="100">
        <v>735000</v>
      </c>
      <c r="M7" s="100">
        <f t="shared" si="0"/>
        <v>735000</v>
      </c>
      <c r="N7" s="100">
        <f t="shared" si="1"/>
        <v>0</v>
      </c>
      <c r="P7" s="97" t="s">
        <v>63</v>
      </c>
      <c r="Q7" s="97" t="s">
        <v>62</v>
      </c>
      <c r="R7" s="97" t="s">
        <v>79</v>
      </c>
      <c r="S7" s="97" t="s">
        <v>80</v>
      </c>
      <c r="T7" s="98">
        <v>1</v>
      </c>
      <c r="U7" s="97" t="s">
        <v>81</v>
      </c>
      <c r="V7" s="99">
        <f t="shared" si="2"/>
        <v>735000</v>
      </c>
      <c r="W7" s="99">
        <f t="shared" si="3"/>
        <v>735000</v>
      </c>
      <c r="X7" s="99">
        <f t="shared" si="4"/>
        <v>735000</v>
      </c>
      <c r="Y7" s="99">
        <f t="shared" si="5"/>
        <v>0</v>
      </c>
    </row>
    <row r="8" spans="1:25" x14ac:dyDescent="0.25">
      <c r="E8" s="3" t="s">
        <v>60</v>
      </c>
      <c r="F8" s="3" t="s">
        <v>61</v>
      </c>
      <c r="G8" s="3" t="s">
        <v>79</v>
      </c>
      <c r="H8" s="3" t="s">
        <v>80</v>
      </c>
      <c r="I8" s="4">
        <v>1</v>
      </c>
      <c r="J8" s="3" t="s">
        <v>81</v>
      </c>
      <c r="K8" s="100">
        <v>0</v>
      </c>
      <c r="L8" s="100">
        <v>0</v>
      </c>
      <c r="M8" s="100">
        <f t="shared" si="0"/>
        <v>0</v>
      </c>
      <c r="N8" s="100">
        <f t="shared" si="1"/>
        <v>0</v>
      </c>
      <c r="P8" s="97" t="s">
        <v>61</v>
      </c>
      <c r="Q8" s="97" t="s">
        <v>60</v>
      </c>
      <c r="R8" s="97" t="s">
        <v>79</v>
      </c>
      <c r="S8" s="97" t="s">
        <v>80</v>
      </c>
      <c r="T8" s="98">
        <v>1</v>
      </c>
      <c r="U8" s="97" t="s">
        <v>81</v>
      </c>
      <c r="V8" s="99">
        <f t="shared" si="2"/>
        <v>0</v>
      </c>
      <c r="W8" s="99">
        <f t="shared" si="3"/>
        <v>0</v>
      </c>
      <c r="X8" s="99">
        <f t="shared" si="4"/>
        <v>0</v>
      </c>
      <c r="Y8" s="99">
        <f t="shared" si="5"/>
        <v>0</v>
      </c>
    </row>
    <row r="9" spans="1:25" x14ac:dyDescent="0.25">
      <c r="E9" s="3" t="s">
        <v>82</v>
      </c>
      <c r="F9" s="3" t="s">
        <v>83</v>
      </c>
      <c r="G9" s="3" t="s">
        <v>79</v>
      </c>
      <c r="H9" s="3" t="s">
        <v>80</v>
      </c>
      <c r="I9" s="4">
        <v>1</v>
      </c>
      <c r="J9" s="3" t="s">
        <v>81</v>
      </c>
      <c r="K9" s="100">
        <v>270000</v>
      </c>
      <c r="L9" s="100">
        <v>270000</v>
      </c>
      <c r="M9" s="100">
        <f t="shared" si="0"/>
        <v>270000</v>
      </c>
      <c r="N9" s="100">
        <f t="shared" si="1"/>
        <v>0</v>
      </c>
      <c r="P9" s="97" t="s">
        <v>83</v>
      </c>
      <c r="Q9" s="97" t="s">
        <v>82</v>
      </c>
      <c r="R9" s="97" t="s">
        <v>79</v>
      </c>
      <c r="S9" s="97" t="s">
        <v>80</v>
      </c>
      <c r="T9" s="98">
        <v>1</v>
      </c>
      <c r="U9" s="97" t="s">
        <v>81</v>
      </c>
      <c r="V9" s="99">
        <f t="shared" si="2"/>
        <v>270000</v>
      </c>
      <c r="W9" s="99">
        <f t="shared" si="3"/>
        <v>270000</v>
      </c>
      <c r="X9" s="99">
        <f t="shared" si="4"/>
        <v>270000</v>
      </c>
      <c r="Y9" s="99">
        <f t="shared" si="5"/>
        <v>0</v>
      </c>
    </row>
    <row r="10" spans="1:25" x14ac:dyDescent="0.25">
      <c r="E10" s="3" t="s">
        <v>84</v>
      </c>
      <c r="F10" s="3" t="s">
        <v>85</v>
      </c>
      <c r="G10" s="3" t="s">
        <v>79</v>
      </c>
      <c r="H10" s="3" t="s">
        <v>80</v>
      </c>
      <c r="I10" s="4">
        <v>1</v>
      </c>
      <c r="J10" s="3" t="s">
        <v>81</v>
      </c>
      <c r="K10" s="100">
        <v>325000</v>
      </c>
      <c r="L10" s="100">
        <v>325000</v>
      </c>
      <c r="M10" s="100">
        <f t="shared" si="0"/>
        <v>325000</v>
      </c>
      <c r="N10" s="100">
        <f t="shared" si="1"/>
        <v>0</v>
      </c>
      <c r="P10" s="97" t="s">
        <v>85</v>
      </c>
      <c r="Q10" s="97" t="s">
        <v>84</v>
      </c>
      <c r="R10" s="97" t="s">
        <v>79</v>
      </c>
      <c r="S10" s="97" t="s">
        <v>80</v>
      </c>
      <c r="T10" s="98">
        <v>1</v>
      </c>
      <c r="U10" s="97" t="s">
        <v>81</v>
      </c>
      <c r="V10" s="99">
        <f t="shared" si="2"/>
        <v>325000</v>
      </c>
      <c r="W10" s="99">
        <f t="shared" si="3"/>
        <v>325000</v>
      </c>
      <c r="X10" s="99">
        <f t="shared" si="4"/>
        <v>325000</v>
      </c>
      <c r="Y10" s="99">
        <f t="shared" si="5"/>
        <v>0</v>
      </c>
    </row>
    <row r="11" spans="1:25" x14ac:dyDescent="0.25">
      <c r="B11" s="136" t="s">
        <v>129</v>
      </c>
      <c r="C11" s="137"/>
      <c r="E11" s="3" t="s">
        <v>86</v>
      </c>
      <c r="F11" s="3" t="s">
        <v>87</v>
      </c>
      <c r="G11" s="3" t="s">
        <v>79</v>
      </c>
      <c r="H11" s="3" t="s">
        <v>80</v>
      </c>
      <c r="I11" s="4">
        <v>1</v>
      </c>
      <c r="J11" s="3" t="s">
        <v>81</v>
      </c>
      <c r="K11" s="100">
        <v>15000000</v>
      </c>
      <c r="L11" s="100">
        <v>15000000</v>
      </c>
      <c r="M11" s="100">
        <f t="shared" si="0"/>
        <v>15000000</v>
      </c>
      <c r="N11" s="100">
        <f t="shared" si="1"/>
        <v>0</v>
      </c>
      <c r="P11" s="97" t="s">
        <v>87</v>
      </c>
      <c r="Q11" s="97" t="s">
        <v>86</v>
      </c>
      <c r="R11" s="97" t="s">
        <v>79</v>
      </c>
      <c r="S11" s="97" t="s">
        <v>80</v>
      </c>
      <c r="T11" s="98">
        <v>1</v>
      </c>
      <c r="U11" s="97" t="s">
        <v>81</v>
      </c>
      <c r="V11" s="99">
        <f t="shared" si="2"/>
        <v>15000000</v>
      </c>
      <c r="W11" s="99">
        <f t="shared" si="3"/>
        <v>15000000</v>
      </c>
      <c r="X11" s="99">
        <f t="shared" si="4"/>
        <v>15000000</v>
      </c>
      <c r="Y11" s="99">
        <f t="shared" si="5"/>
        <v>0</v>
      </c>
    </row>
    <row r="12" spans="1:25" x14ac:dyDescent="0.25">
      <c r="B12" s="6" t="s">
        <v>80</v>
      </c>
      <c r="C12" s="7">
        <f>SUM(M5:M29)</f>
        <v>258375000</v>
      </c>
      <c r="E12" s="3" t="s">
        <v>207</v>
      </c>
      <c r="F12" s="3" t="s">
        <v>208</v>
      </c>
      <c r="G12" s="3" t="s">
        <v>79</v>
      </c>
      <c r="H12" s="3" t="s">
        <v>94</v>
      </c>
      <c r="I12" s="4">
        <v>1</v>
      </c>
      <c r="J12" s="3" t="s">
        <v>81</v>
      </c>
      <c r="K12" s="100">
        <v>250000</v>
      </c>
      <c r="L12" s="100">
        <v>250000</v>
      </c>
      <c r="M12" s="100">
        <f t="shared" si="0"/>
        <v>0</v>
      </c>
      <c r="N12" s="100">
        <f t="shared" si="1"/>
        <v>250000</v>
      </c>
      <c r="P12" s="97" t="s">
        <v>208</v>
      </c>
      <c r="Q12" s="97" t="s">
        <v>207</v>
      </c>
      <c r="R12" s="97" t="s">
        <v>79</v>
      </c>
      <c r="S12" s="97" t="s">
        <v>94</v>
      </c>
      <c r="T12" s="98">
        <v>1</v>
      </c>
      <c r="U12" s="97" t="s">
        <v>81</v>
      </c>
      <c r="V12" s="99">
        <f t="shared" si="2"/>
        <v>250000</v>
      </c>
      <c r="W12" s="99">
        <f t="shared" si="3"/>
        <v>250000</v>
      </c>
      <c r="X12" s="99">
        <f t="shared" si="4"/>
        <v>0</v>
      </c>
      <c r="Y12" s="99">
        <f t="shared" si="5"/>
        <v>250000</v>
      </c>
    </row>
    <row r="13" spans="1:25" x14ac:dyDescent="0.25">
      <c r="B13" s="6" t="s">
        <v>94</v>
      </c>
      <c r="C13" s="8">
        <f>SUM(N5:N29)</f>
        <v>258375000</v>
      </c>
      <c r="E13" s="3" t="s">
        <v>88</v>
      </c>
      <c r="F13" s="3" t="s">
        <v>89</v>
      </c>
      <c r="G13" s="3" t="s">
        <v>79</v>
      </c>
      <c r="H13" s="3" t="s">
        <v>80</v>
      </c>
      <c r="I13" s="4">
        <v>1</v>
      </c>
      <c r="J13" s="3" t="s">
        <v>81</v>
      </c>
      <c r="K13" s="100">
        <v>127045000</v>
      </c>
      <c r="L13" s="100">
        <v>127045000</v>
      </c>
      <c r="M13" s="100">
        <f t="shared" si="0"/>
        <v>127045000</v>
      </c>
      <c r="N13" s="100">
        <f t="shared" si="1"/>
        <v>0</v>
      </c>
      <c r="P13" s="105" t="s">
        <v>89</v>
      </c>
      <c r="Q13" s="105" t="s">
        <v>88</v>
      </c>
      <c r="R13" s="105" t="s">
        <v>79</v>
      </c>
      <c r="S13" s="105" t="s">
        <v>80</v>
      </c>
      <c r="T13" s="106">
        <v>1</v>
      </c>
      <c r="U13" s="105" t="s">
        <v>81</v>
      </c>
      <c r="V13" s="99">
        <f t="shared" si="2"/>
        <v>127045000</v>
      </c>
      <c r="W13" s="99">
        <f t="shared" si="3"/>
        <v>127045000</v>
      </c>
      <c r="X13" s="99">
        <f>M13</f>
        <v>127045000</v>
      </c>
      <c r="Y13" s="99">
        <f t="shared" si="5"/>
        <v>0</v>
      </c>
    </row>
    <row r="14" spans="1:25" x14ac:dyDescent="0.25">
      <c r="B14" s="6" t="s">
        <v>130</v>
      </c>
      <c r="C14" s="9">
        <f>IF(C12&lt;C13,C12-C13,IF(C12&gt;C13,C13-C12,0))</f>
        <v>0</v>
      </c>
      <c r="E14" s="3" t="s">
        <v>90</v>
      </c>
      <c r="F14" s="3" t="s">
        <v>91</v>
      </c>
      <c r="G14" s="3" t="s">
        <v>79</v>
      </c>
      <c r="H14" s="3" t="s">
        <v>80</v>
      </c>
      <c r="I14" s="4">
        <v>1</v>
      </c>
      <c r="J14" s="3" t="s">
        <v>81</v>
      </c>
      <c r="K14" s="100">
        <v>100000000</v>
      </c>
      <c r="L14" s="100">
        <v>100000000</v>
      </c>
      <c r="M14" s="100">
        <f t="shared" si="0"/>
        <v>100000000</v>
      </c>
      <c r="N14" s="100">
        <f t="shared" si="1"/>
        <v>0</v>
      </c>
      <c r="P14" s="97" t="s">
        <v>91</v>
      </c>
      <c r="Q14" s="97" t="s">
        <v>90</v>
      </c>
      <c r="R14" s="97" t="s">
        <v>79</v>
      </c>
      <c r="S14" s="97" t="s">
        <v>80</v>
      </c>
      <c r="T14" s="98">
        <v>1</v>
      </c>
      <c r="U14" s="97" t="s">
        <v>81</v>
      </c>
      <c r="V14" s="99">
        <f t="shared" si="2"/>
        <v>100000000</v>
      </c>
      <c r="W14" s="99">
        <f t="shared" si="3"/>
        <v>100000000</v>
      </c>
      <c r="X14" s="99">
        <f t="shared" si="4"/>
        <v>100000000</v>
      </c>
      <c r="Y14" s="99">
        <f t="shared" si="5"/>
        <v>0</v>
      </c>
    </row>
    <row r="15" spans="1:25" x14ac:dyDescent="0.25">
      <c r="E15" s="3" t="s">
        <v>92</v>
      </c>
      <c r="F15" s="3" t="s">
        <v>93</v>
      </c>
      <c r="G15" s="3" t="s">
        <v>79</v>
      </c>
      <c r="H15" s="3" t="s">
        <v>94</v>
      </c>
      <c r="I15" s="4">
        <v>1</v>
      </c>
      <c r="J15" s="3" t="s">
        <v>81</v>
      </c>
      <c r="K15" s="100">
        <v>3125000</v>
      </c>
      <c r="L15" s="100">
        <v>3125000</v>
      </c>
      <c r="M15" s="100">
        <f t="shared" si="0"/>
        <v>0</v>
      </c>
      <c r="N15" s="100">
        <f t="shared" si="1"/>
        <v>3125000</v>
      </c>
      <c r="P15" s="97" t="s">
        <v>93</v>
      </c>
      <c r="Q15" s="97" t="s">
        <v>92</v>
      </c>
      <c r="R15" s="97" t="s">
        <v>79</v>
      </c>
      <c r="S15" s="97" t="s">
        <v>94</v>
      </c>
      <c r="T15" s="98">
        <v>1</v>
      </c>
      <c r="U15" s="97" t="s">
        <v>81</v>
      </c>
      <c r="V15" s="99">
        <f t="shared" si="2"/>
        <v>3125000</v>
      </c>
      <c r="W15" s="99">
        <f t="shared" si="3"/>
        <v>3125000</v>
      </c>
      <c r="X15" s="99">
        <f t="shared" si="4"/>
        <v>0</v>
      </c>
      <c r="Y15" s="99">
        <f t="shared" si="5"/>
        <v>3125000</v>
      </c>
    </row>
    <row r="16" spans="1:25" x14ac:dyDescent="0.25">
      <c r="E16" s="3" t="s">
        <v>95</v>
      </c>
      <c r="F16" s="3" t="s">
        <v>96</v>
      </c>
      <c r="G16" s="3" t="s">
        <v>97</v>
      </c>
      <c r="H16" s="3" t="s">
        <v>94</v>
      </c>
      <c r="I16" s="4">
        <v>1</v>
      </c>
      <c r="J16" s="3" t="s">
        <v>81</v>
      </c>
      <c r="K16" s="100">
        <v>0</v>
      </c>
      <c r="L16" s="100">
        <v>0</v>
      </c>
      <c r="M16" s="100">
        <f t="shared" si="0"/>
        <v>0</v>
      </c>
      <c r="N16" s="100">
        <f t="shared" si="1"/>
        <v>0</v>
      </c>
      <c r="P16" s="97" t="s">
        <v>96</v>
      </c>
      <c r="Q16" s="97" t="s">
        <v>95</v>
      </c>
      <c r="R16" s="97" t="s">
        <v>97</v>
      </c>
      <c r="S16" s="97" t="s">
        <v>94</v>
      </c>
      <c r="T16" s="98">
        <v>1</v>
      </c>
      <c r="U16" s="97" t="s">
        <v>81</v>
      </c>
      <c r="V16" s="99">
        <f t="shared" si="2"/>
        <v>0</v>
      </c>
      <c r="W16" s="99">
        <f t="shared" si="3"/>
        <v>0</v>
      </c>
      <c r="X16" s="99">
        <f t="shared" si="4"/>
        <v>0</v>
      </c>
      <c r="Y16" s="99">
        <f t="shared" si="5"/>
        <v>0</v>
      </c>
    </row>
    <row r="17" spans="5:25" x14ac:dyDescent="0.25">
      <c r="E17" s="3" t="s">
        <v>98</v>
      </c>
      <c r="F17" s="3" t="s">
        <v>99</v>
      </c>
      <c r="G17" s="3" t="s">
        <v>97</v>
      </c>
      <c r="H17" s="3" t="s">
        <v>94</v>
      </c>
      <c r="I17" s="4">
        <v>1</v>
      </c>
      <c r="J17" s="3" t="s">
        <v>81</v>
      </c>
      <c r="K17" s="100">
        <v>0</v>
      </c>
      <c r="L17" s="100">
        <v>0</v>
      </c>
      <c r="M17" s="100">
        <f t="shared" si="0"/>
        <v>0</v>
      </c>
      <c r="N17" s="100">
        <f t="shared" si="1"/>
        <v>0</v>
      </c>
      <c r="P17" s="97" t="s">
        <v>99</v>
      </c>
      <c r="Q17" s="97" t="s">
        <v>98</v>
      </c>
      <c r="R17" s="97" t="s">
        <v>97</v>
      </c>
      <c r="S17" s="97" t="s">
        <v>94</v>
      </c>
      <c r="T17" s="98">
        <v>1</v>
      </c>
      <c r="U17" s="97" t="s">
        <v>81</v>
      </c>
      <c r="V17" s="99">
        <f t="shared" si="2"/>
        <v>0</v>
      </c>
      <c r="W17" s="99">
        <f t="shared" si="3"/>
        <v>0</v>
      </c>
      <c r="X17" s="99">
        <f t="shared" si="4"/>
        <v>0</v>
      </c>
      <c r="Y17" s="99">
        <f t="shared" si="5"/>
        <v>0</v>
      </c>
    </row>
    <row r="18" spans="5:25" x14ac:dyDescent="0.25">
      <c r="E18" s="3" t="s">
        <v>100</v>
      </c>
      <c r="F18" s="3" t="s">
        <v>101</v>
      </c>
      <c r="G18" s="3" t="s">
        <v>97</v>
      </c>
      <c r="H18" s="3" t="s">
        <v>94</v>
      </c>
      <c r="I18" s="4">
        <v>1</v>
      </c>
      <c r="J18" s="3" t="s">
        <v>81</v>
      </c>
      <c r="K18" s="100">
        <v>0</v>
      </c>
      <c r="L18" s="100">
        <v>0</v>
      </c>
      <c r="M18" s="100">
        <f t="shared" si="0"/>
        <v>0</v>
      </c>
      <c r="N18" s="100">
        <f t="shared" si="1"/>
        <v>0</v>
      </c>
      <c r="P18" s="97" t="s">
        <v>101</v>
      </c>
      <c r="Q18" s="97" t="s">
        <v>100</v>
      </c>
      <c r="R18" s="97" t="s">
        <v>97</v>
      </c>
      <c r="S18" s="97" t="s">
        <v>94</v>
      </c>
      <c r="T18" s="98">
        <v>1</v>
      </c>
      <c r="U18" s="97" t="s">
        <v>81</v>
      </c>
      <c r="V18" s="99">
        <f t="shared" si="2"/>
        <v>0</v>
      </c>
      <c r="W18" s="99">
        <f t="shared" si="3"/>
        <v>0</v>
      </c>
      <c r="X18" s="99">
        <f t="shared" si="4"/>
        <v>0</v>
      </c>
      <c r="Y18" s="99">
        <f t="shared" si="5"/>
        <v>0</v>
      </c>
    </row>
    <row r="19" spans="5:25" x14ac:dyDescent="0.25">
      <c r="E19" s="3" t="s">
        <v>102</v>
      </c>
      <c r="F19" s="3" t="s">
        <v>103</v>
      </c>
      <c r="G19" s="3" t="s">
        <v>103</v>
      </c>
      <c r="H19" s="3" t="s">
        <v>94</v>
      </c>
      <c r="I19" s="4">
        <v>1</v>
      </c>
      <c r="J19" s="3" t="s">
        <v>81</v>
      </c>
      <c r="K19" s="100">
        <v>255000000</v>
      </c>
      <c r="L19" s="100">
        <v>255000000</v>
      </c>
      <c r="M19" s="100">
        <f t="shared" si="0"/>
        <v>0</v>
      </c>
      <c r="N19" s="100">
        <f t="shared" si="1"/>
        <v>255000000</v>
      </c>
      <c r="P19" s="97" t="s">
        <v>103</v>
      </c>
      <c r="Q19" s="97" t="s">
        <v>102</v>
      </c>
      <c r="R19" s="97" t="s">
        <v>103</v>
      </c>
      <c r="S19" s="97" t="s">
        <v>94</v>
      </c>
      <c r="T19" s="98">
        <v>1</v>
      </c>
      <c r="U19" s="97" t="s">
        <v>81</v>
      </c>
      <c r="V19" s="99">
        <f t="shared" si="2"/>
        <v>255000000</v>
      </c>
      <c r="W19" s="99">
        <f t="shared" si="3"/>
        <v>255000000</v>
      </c>
      <c r="X19" s="99">
        <f t="shared" si="4"/>
        <v>0</v>
      </c>
      <c r="Y19" s="99">
        <f t="shared" si="5"/>
        <v>255000000</v>
      </c>
    </row>
    <row r="20" spans="5:25" x14ac:dyDescent="0.25">
      <c r="E20" s="3" t="s">
        <v>104</v>
      </c>
      <c r="F20" s="3" t="s">
        <v>105</v>
      </c>
      <c r="G20" s="3" t="s">
        <v>103</v>
      </c>
      <c r="H20" s="3" t="s">
        <v>94</v>
      </c>
      <c r="I20" s="4">
        <v>1</v>
      </c>
      <c r="J20" s="3" t="s">
        <v>81</v>
      </c>
      <c r="K20" s="100">
        <v>0</v>
      </c>
      <c r="L20" s="100">
        <v>0</v>
      </c>
      <c r="M20" s="100">
        <f t="shared" si="0"/>
        <v>0</v>
      </c>
      <c r="N20" s="100">
        <f t="shared" si="1"/>
        <v>0</v>
      </c>
      <c r="P20" s="97" t="s">
        <v>105</v>
      </c>
      <c r="Q20" s="97" t="s">
        <v>104</v>
      </c>
      <c r="R20" s="97" t="s">
        <v>103</v>
      </c>
      <c r="S20" s="97" t="s">
        <v>94</v>
      </c>
      <c r="T20" s="98">
        <v>1</v>
      </c>
      <c r="U20" s="97" t="s">
        <v>81</v>
      </c>
      <c r="V20" s="99">
        <f t="shared" si="2"/>
        <v>0</v>
      </c>
      <c r="W20" s="99">
        <f t="shared" si="3"/>
        <v>0</v>
      </c>
      <c r="X20" s="99">
        <f t="shared" si="4"/>
        <v>0</v>
      </c>
      <c r="Y20" s="99">
        <f t="shared" si="5"/>
        <v>0</v>
      </c>
    </row>
    <row r="21" spans="5:25" x14ac:dyDescent="0.25">
      <c r="E21" s="3" t="s">
        <v>106</v>
      </c>
      <c r="F21" s="3" t="s">
        <v>107</v>
      </c>
      <c r="G21" s="3" t="s">
        <v>103</v>
      </c>
      <c r="H21" s="3" t="s">
        <v>94</v>
      </c>
      <c r="I21" s="4">
        <v>1</v>
      </c>
      <c r="J21" s="3" t="s">
        <v>81</v>
      </c>
      <c r="K21" s="100">
        <v>0</v>
      </c>
      <c r="L21" s="100">
        <v>0</v>
      </c>
      <c r="M21" s="100">
        <f t="shared" si="0"/>
        <v>0</v>
      </c>
      <c r="N21" s="100">
        <f t="shared" si="1"/>
        <v>0</v>
      </c>
      <c r="P21" s="97" t="s">
        <v>107</v>
      </c>
      <c r="Q21" s="97" t="s">
        <v>106</v>
      </c>
      <c r="R21" s="97" t="s">
        <v>103</v>
      </c>
      <c r="S21" s="97" t="s">
        <v>94</v>
      </c>
      <c r="T21" s="98">
        <v>1</v>
      </c>
      <c r="U21" s="97" t="s">
        <v>81</v>
      </c>
      <c r="V21" s="99">
        <f t="shared" si="2"/>
        <v>0</v>
      </c>
      <c r="W21" s="99">
        <f t="shared" si="3"/>
        <v>0</v>
      </c>
      <c r="X21" s="99">
        <f t="shared" si="4"/>
        <v>0</v>
      </c>
      <c r="Y21" s="99">
        <f t="shared" si="5"/>
        <v>0</v>
      </c>
    </row>
    <row r="22" spans="5:25" x14ac:dyDescent="0.25">
      <c r="E22" s="3" t="s">
        <v>108</v>
      </c>
      <c r="F22" s="3" t="s">
        <v>109</v>
      </c>
      <c r="G22" s="3" t="s">
        <v>110</v>
      </c>
      <c r="H22" s="3" t="s">
        <v>94</v>
      </c>
      <c r="I22" s="4">
        <v>1</v>
      </c>
      <c r="J22" s="3" t="s">
        <v>111</v>
      </c>
      <c r="K22" s="100">
        <v>0</v>
      </c>
      <c r="L22" s="100">
        <v>0</v>
      </c>
      <c r="M22" s="100">
        <f t="shared" si="0"/>
        <v>0</v>
      </c>
      <c r="N22" s="100">
        <f t="shared" si="1"/>
        <v>0</v>
      </c>
      <c r="P22" s="97" t="s">
        <v>109</v>
      </c>
      <c r="Q22" s="97" t="s">
        <v>108</v>
      </c>
      <c r="R22" s="97" t="s">
        <v>110</v>
      </c>
      <c r="S22" s="97" t="s">
        <v>94</v>
      </c>
      <c r="T22" s="98">
        <v>1</v>
      </c>
      <c r="U22" s="97" t="s">
        <v>111</v>
      </c>
      <c r="V22" s="99">
        <f t="shared" si="2"/>
        <v>0</v>
      </c>
      <c r="W22" s="99">
        <f t="shared" si="3"/>
        <v>0</v>
      </c>
      <c r="X22" s="99">
        <f t="shared" si="4"/>
        <v>0</v>
      </c>
      <c r="Y22" s="99">
        <f t="shared" si="5"/>
        <v>0</v>
      </c>
    </row>
    <row r="23" spans="5:25" x14ac:dyDescent="0.25">
      <c r="E23" s="3" t="s">
        <v>112</v>
      </c>
      <c r="F23" s="3" t="s">
        <v>113</v>
      </c>
      <c r="G23" s="3" t="s">
        <v>113</v>
      </c>
      <c r="H23" s="3" t="s">
        <v>80</v>
      </c>
      <c r="I23" s="4">
        <v>1</v>
      </c>
      <c r="J23" s="3" t="s">
        <v>111</v>
      </c>
      <c r="K23" s="100">
        <v>0</v>
      </c>
      <c r="L23" s="100">
        <v>0</v>
      </c>
      <c r="M23" s="100">
        <f t="shared" si="0"/>
        <v>0</v>
      </c>
      <c r="N23" s="100">
        <f t="shared" si="1"/>
        <v>0</v>
      </c>
      <c r="P23" s="97" t="s">
        <v>113</v>
      </c>
      <c r="Q23" s="97" t="s">
        <v>112</v>
      </c>
      <c r="R23" s="97" t="s">
        <v>113</v>
      </c>
      <c r="S23" s="97" t="s">
        <v>80</v>
      </c>
      <c r="T23" s="98">
        <v>1</v>
      </c>
      <c r="U23" s="97" t="s">
        <v>111</v>
      </c>
      <c r="V23" s="99">
        <f t="shared" si="2"/>
        <v>0</v>
      </c>
      <c r="W23" s="99">
        <f t="shared" si="3"/>
        <v>0</v>
      </c>
      <c r="X23" s="99">
        <f t="shared" si="4"/>
        <v>0</v>
      </c>
      <c r="Y23" s="99">
        <f t="shared" si="5"/>
        <v>0</v>
      </c>
    </row>
    <row r="24" spans="5:25" x14ac:dyDescent="0.25">
      <c r="E24" s="3" t="s">
        <v>114</v>
      </c>
      <c r="F24" s="3" t="s">
        <v>115</v>
      </c>
      <c r="G24" s="3" t="s">
        <v>116</v>
      </c>
      <c r="H24" s="3" t="s">
        <v>80</v>
      </c>
      <c r="I24" s="4">
        <v>1</v>
      </c>
      <c r="J24" s="3" t="s">
        <v>111</v>
      </c>
      <c r="K24" s="100">
        <v>0</v>
      </c>
      <c r="L24" s="100">
        <v>0</v>
      </c>
      <c r="M24" s="100">
        <f t="shared" si="0"/>
        <v>0</v>
      </c>
      <c r="N24" s="100">
        <f t="shared" si="1"/>
        <v>0</v>
      </c>
      <c r="P24" s="97" t="s">
        <v>115</v>
      </c>
      <c r="Q24" s="97" t="s">
        <v>114</v>
      </c>
      <c r="R24" s="97" t="s">
        <v>116</v>
      </c>
      <c r="S24" s="97" t="s">
        <v>80</v>
      </c>
      <c r="T24" s="98">
        <v>1</v>
      </c>
      <c r="U24" s="97" t="s">
        <v>111</v>
      </c>
      <c r="V24" s="99">
        <f t="shared" si="2"/>
        <v>0</v>
      </c>
      <c r="W24" s="99">
        <f t="shared" si="3"/>
        <v>0</v>
      </c>
      <c r="X24" s="99">
        <f t="shared" si="4"/>
        <v>0</v>
      </c>
      <c r="Y24" s="99">
        <f t="shared" si="5"/>
        <v>0</v>
      </c>
    </row>
    <row r="25" spans="5:25" x14ac:dyDescent="0.25">
      <c r="E25" s="3" t="s">
        <v>117</v>
      </c>
      <c r="F25" s="3" t="s">
        <v>118</v>
      </c>
      <c r="G25" s="3" t="s">
        <v>116</v>
      </c>
      <c r="H25" s="3" t="s">
        <v>80</v>
      </c>
      <c r="I25" s="4">
        <v>1</v>
      </c>
      <c r="J25" s="3" t="s">
        <v>111</v>
      </c>
      <c r="K25" s="100">
        <v>0</v>
      </c>
      <c r="L25" s="100">
        <v>0</v>
      </c>
      <c r="M25" s="100">
        <f t="shared" si="0"/>
        <v>0</v>
      </c>
      <c r="N25" s="100">
        <f t="shared" si="1"/>
        <v>0</v>
      </c>
      <c r="P25" s="97" t="s">
        <v>118</v>
      </c>
      <c r="Q25" s="97" t="s">
        <v>117</v>
      </c>
      <c r="R25" s="97" t="s">
        <v>116</v>
      </c>
      <c r="S25" s="97" t="s">
        <v>80</v>
      </c>
      <c r="T25" s="98">
        <v>1</v>
      </c>
      <c r="U25" s="97" t="s">
        <v>111</v>
      </c>
      <c r="V25" s="99">
        <f t="shared" si="2"/>
        <v>0</v>
      </c>
      <c r="W25" s="99">
        <f t="shared" si="3"/>
        <v>0</v>
      </c>
      <c r="X25" s="99">
        <f t="shared" si="4"/>
        <v>0</v>
      </c>
      <c r="Y25" s="99">
        <f t="shared" si="5"/>
        <v>0</v>
      </c>
    </row>
    <row r="26" spans="5:25" x14ac:dyDescent="0.25">
      <c r="E26" s="3" t="s">
        <v>119</v>
      </c>
      <c r="F26" s="3" t="s">
        <v>120</v>
      </c>
      <c r="G26" s="3" t="s">
        <v>116</v>
      </c>
      <c r="H26" s="3" t="s">
        <v>80</v>
      </c>
      <c r="I26" s="4">
        <v>1</v>
      </c>
      <c r="J26" s="3" t="s">
        <v>111</v>
      </c>
      <c r="K26" s="100">
        <v>0</v>
      </c>
      <c r="L26" s="100">
        <v>0</v>
      </c>
      <c r="M26" s="100">
        <f t="shared" si="0"/>
        <v>0</v>
      </c>
      <c r="N26" s="100">
        <f t="shared" si="1"/>
        <v>0</v>
      </c>
      <c r="P26" s="97" t="s">
        <v>120</v>
      </c>
      <c r="Q26" s="97" t="s">
        <v>119</v>
      </c>
      <c r="R26" s="97" t="s">
        <v>116</v>
      </c>
      <c r="S26" s="97" t="s">
        <v>80</v>
      </c>
      <c r="T26" s="98">
        <v>1</v>
      </c>
      <c r="U26" s="97" t="s">
        <v>111</v>
      </c>
      <c r="V26" s="99">
        <f t="shared" si="2"/>
        <v>0</v>
      </c>
      <c r="W26" s="99">
        <f t="shared" si="3"/>
        <v>0</v>
      </c>
      <c r="X26" s="99">
        <f t="shared" si="4"/>
        <v>0</v>
      </c>
      <c r="Y26" s="99">
        <f t="shared" si="5"/>
        <v>0</v>
      </c>
    </row>
    <row r="27" spans="5:25" x14ac:dyDescent="0.25">
      <c r="E27" s="3" t="s">
        <v>121</v>
      </c>
      <c r="F27" s="3" t="s">
        <v>122</v>
      </c>
      <c r="G27" s="3" t="s">
        <v>116</v>
      </c>
      <c r="H27" s="3" t="s">
        <v>80</v>
      </c>
      <c r="I27" s="4">
        <v>1</v>
      </c>
      <c r="J27" s="3" t="s">
        <v>111</v>
      </c>
      <c r="K27" s="100">
        <v>0</v>
      </c>
      <c r="L27" s="100">
        <v>0</v>
      </c>
      <c r="M27" s="100">
        <f t="shared" si="0"/>
        <v>0</v>
      </c>
      <c r="N27" s="100">
        <f t="shared" si="1"/>
        <v>0</v>
      </c>
      <c r="P27" s="97" t="s">
        <v>122</v>
      </c>
      <c r="Q27" s="97" t="s">
        <v>121</v>
      </c>
      <c r="R27" s="97" t="s">
        <v>116</v>
      </c>
      <c r="S27" s="97" t="s">
        <v>80</v>
      </c>
      <c r="T27" s="98">
        <v>1</v>
      </c>
      <c r="U27" s="97" t="s">
        <v>111</v>
      </c>
      <c r="V27" s="99">
        <f t="shared" si="2"/>
        <v>0</v>
      </c>
      <c r="W27" s="99">
        <f t="shared" si="3"/>
        <v>0</v>
      </c>
      <c r="X27" s="99">
        <f t="shared" si="4"/>
        <v>0</v>
      </c>
      <c r="Y27" s="99">
        <f t="shared" si="5"/>
        <v>0</v>
      </c>
    </row>
    <row r="28" spans="5:25" x14ac:dyDescent="0.25">
      <c r="E28" s="3" t="s">
        <v>123</v>
      </c>
      <c r="F28" s="3" t="s">
        <v>124</v>
      </c>
      <c r="G28" s="3" t="s">
        <v>116</v>
      </c>
      <c r="H28" s="3" t="s">
        <v>80</v>
      </c>
      <c r="I28" s="4">
        <v>1</v>
      </c>
      <c r="J28" s="3" t="s">
        <v>111</v>
      </c>
      <c r="K28" s="100">
        <v>0</v>
      </c>
      <c r="L28" s="100">
        <v>0</v>
      </c>
      <c r="M28" s="100">
        <f t="shared" si="0"/>
        <v>0</v>
      </c>
      <c r="N28" s="100">
        <f t="shared" si="1"/>
        <v>0</v>
      </c>
      <c r="P28" s="97" t="s">
        <v>124</v>
      </c>
      <c r="Q28" s="97" t="s">
        <v>123</v>
      </c>
      <c r="R28" s="97" t="s">
        <v>116</v>
      </c>
      <c r="S28" s="97" t="s">
        <v>80</v>
      </c>
      <c r="T28" s="98">
        <v>1</v>
      </c>
      <c r="U28" s="97" t="s">
        <v>111</v>
      </c>
      <c r="V28" s="99">
        <f t="shared" si="2"/>
        <v>0</v>
      </c>
      <c r="W28" s="99">
        <f t="shared" si="3"/>
        <v>0</v>
      </c>
      <c r="X28" s="99">
        <f t="shared" si="4"/>
        <v>0</v>
      </c>
      <c r="Y28" s="99">
        <f t="shared" si="5"/>
        <v>0</v>
      </c>
    </row>
    <row r="29" spans="5:25" x14ac:dyDescent="0.25">
      <c r="E29" s="3" t="s">
        <v>125</v>
      </c>
      <c r="F29" s="3" t="s">
        <v>126</v>
      </c>
      <c r="G29" s="3" t="s">
        <v>116</v>
      </c>
      <c r="H29" s="3" t="s">
        <v>80</v>
      </c>
      <c r="I29" s="4">
        <v>1</v>
      </c>
      <c r="J29" s="3" t="s">
        <v>111</v>
      </c>
      <c r="K29" s="100">
        <v>0</v>
      </c>
      <c r="L29" s="100">
        <v>0</v>
      </c>
      <c r="M29" s="100">
        <f t="shared" si="0"/>
        <v>0</v>
      </c>
      <c r="N29" s="100">
        <f t="shared" si="1"/>
        <v>0</v>
      </c>
      <c r="P29" s="97" t="s">
        <v>126</v>
      </c>
      <c r="Q29" s="97" t="s">
        <v>125</v>
      </c>
      <c r="R29" s="97" t="s">
        <v>116</v>
      </c>
      <c r="S29" s="97" t="s">
        <v>80</v>
      </c>
      <c r="T29" s="98">
        <v>1</v>
      </c>
      <c r="U29" s="97" t="s">
        <v>111</v>
      </c>
      <c r="V29" s="99">
        <f t="shared" si="2"/>
        <v>0</v>
      </c>
      <c r="W29" s="99">
        <f t="shared" si="3"/>
        <v>0</v>
      </c>
      <c r="X29" s="99">
        <f t="shared" si="4"/>
        <v>0</v>
      </c>
      <c r="Y29" s="99">
        <f t="shared" si="5"/>
        <v>0</v>
      </c>
    </row>
    <row r="30" spans="5:25" x14ac:dyDescent="0.25">
      <c r="E30" s="11" t="s">
        <v>127</v>
      </c>
      <c r="F30" s="11" t="s">
        <v>128</v>
      </c>
      <c r="G30" s="11" t="s">
        <v>116</v>
      </c>
      <c r="H30" s="11" t="s">
        <v>80</v>
      </c>
      <c r="I30" s="11">
        <v>1</v>
      </c>
      <c r="J30" s="11" t="s">
        <v>111</v>
      </c>
      <c r="K30" s="107">
        <v>0</v>
      </c>
      <c r="L30" s="107">
        <v>0</v>
      </c>
      <c r="M30" s="107">
        <v>0</v>
      </c>
      <c r="N30" s="107">
        <v>0</v>
      </c>
      <c r="P30" s="97" t="s">
        <v>128</v>
      </c>
      <c r="Q30" s="97" t="s">
        <v>127</v>
      </c>
      <c r="R30" s="97" t="s">
        <v>116</v>
      </c>
      <c r="S30" s="97" t="s">
        <v>80</v>
      </c>
      <c r="T30" s="98">
        <v>1</v>
      </c>
      <c r="U30" s="97" t="s">
        <v>111</v>
      </c>
      <c r="V30" s="99">
        <f t="shared" si="2"/>
        <v>0</v>
      </c>
      <c r="W30" s="99">
        <f t="shared" si="3"/>
        <v>0</v>
      </c>
      <c r="X30" s="99">
        <f t="shared" si="4"/>
        <v>0</v>
      </c>
      <c r="Y30" s="99">
        <f t="shared" si="5"/>
        <v>0</v>
      </c>
    </row>
  </sheetData>
  <mergeCells count="2">
    <mergeCell ref="B11:C11"/>
    <mergeCell ref="E2:N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Jurnal</vt:lpstr>
      <vt:lpstr>Harga Pokok Pembelian</vt:lpstr>
      <vt:lpstr>Neraca</vt:lpstr>
      <vt:lpstr>Laba_Rugi</vt:lpstr>
      <vt:lpstr>HPP</vt:lpstr>
      <vt:lpstr>Buku Besar</vt:lpstr>
      <vt:lpstr>Tutup Buku</vt:lpstr>
      <vt:lpstr>Kalkulasi Produksi</vt:lpstr>
      <vt:lpstr>Data Akun</vt:lpstr>
      <vt:lpstr>Data Pelanggan</vt:lpstr>
      <vt:lpstr>Data Pegawai</vt:lpstr>
      <vt:lpstr>Data Barang</vt:lpstr>
      <vt:lpstr>Data Periode</vt:lpstr>
      <vt:lpstr>Data Produk</vt:lpstr>
      <vt:lpstr>Data Produksi</vt:lpstr>
      <vt:lpstr>Data Pembelian</vt:lpstr>
      <vt:lpstr>Data Penjualan</vt:lpstr>
      <vt:lpstr>Data Supplier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</dc:creator>
  <cp:lastModifiedBy>Ryzen</cp:lastModifiedBy>
  <dcterms:created xsi:type="dcterms:W3CDTF">2021-05-29T04:05:30Z</dcterms:created>
  <dcterms:modified xsi:type="dcterms:W3CDTF">2021-08-28T07:42:10Z</dcterms:modified>
</cp:coreProperties>
</file>