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16000" windowHeight="10940" tabRatio="500" activeTab="1"/>
  </bookViews>
  <sheets>
    <sheet name="Total Admissions by Year" sheetId="1" r:id="rId1"/>
    <sheet name="Worcester 2014" sheetId="2" r:id="rId2"/>
    <sheet name="No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1" i="2"/>
  <c r="J10" i="2"/>
  <c r="J11" i="2"/>
  <c r="I5" i="2"/>
  <c r="I8" i="2"/>
  <c r="C8" i="2"/>
  <c r="C5" i="2"/>
  <c r="J6" i="2"/>
  <c r="J7" i="2"/>
  <c r="J8" i="2"/>
  <c r="J5" i="2"/>
  <c r="J2" i="2"/>
  <c r="J3" i="2"/>
  <c r="J1" i="2"/>
  <c r="B11" i="2"/>
  <c r="B10" i="2"/>
  <c r="B6" i="2"/>
  <c r="B5" i="2"/>
  <c r="B8" i="2"/>
  <c r="B25" i="2"/>
  <c r="B15" i="2"/>
  <c r="B14" i="2"/>
  <c r="B13" i="2"/>
  <c r="B23" i="2"/>
  <c r="B21" i="2"/>
  <c r="B20" i="2"/>
  <c r="B19" i="2"/>
  <c r="B18" i="2"/>
  <c r="B1" i="2"/>
  <c r="B30" i="2"/>
  <c r="B29" i="2"/>
  <c r="B28" i="2"/>
  <c r="B27" i="2"/>
  <c r="B26" i="2"/>
  <c r="B7" i="2"/>
  <c r="H41" i="2"/>
  <c r="H42" i="2"/>
  <c r="E42" i="2"/>
  <c r="E41" i="2"/>
  <c r="H38" i="2"/>
  <c r="H39" i="2"/>
  <c r="E39" i="2"/>
  <c r="E38" i="2"/>
  <c r="H35" i="2"/>
  <c r="H36" i="2"/>
  <c r="E36" i="2"/>
  <c r="E35" i="2"/>
  <c r="H32" i="2"/>
  <c r="H33" i="2"/>
  <c r="E33" i="2"/>
  <c r="E32" i="2"/>
  <c r="H25" i="2"/>
  <c r="H26" i="2"/>
  <c r="H27" i="2"/>
  <c r="H28" i="2"/>
  <c r="H29" i="2"/>
  <c r="H30" i="2"/>
  <c r="E30" i="2"/>
  <c r="E29" i="2"/>
  <c r="E28" i="2"/>
  <c r="E27" i="2"/>
  <c r="E26" i="2"/>
  <c r="E25" i="2"/>
  <c r="H18" i="2"/>
  <c r="H19" i="2"/>
  <c r="H20" i="2"/>
  <c r="H21" i="2"/>
  <c r="H22" i="2"/>
  <c r="H23" i="2"/>
  <c r="E23" i="2"/>
  <c r="E22" i="2"/>
  <c r="E21" i="2"/>
  <c r="E20" i="2"/>
  <c r="E19" i="2"/>
  <c r="E18" i="2"/>
  <c r="H13" i="2"/>
  <c r="H14" i="2"/>
  <c r="H15" i="2"/>
  <c r="H16" i="2"/>
  <c r="E16" i="2"/>
  <c r="E15" i="2"/>
  <c r="E14" i="2"/>
  <c r="E13" i="2"/>
  <c r="H10" i="2"/>
  <c r="H11" i="2"/>
  <c r="E11" i="2"/>
  <c r="E10" i="2"/>
  <c r="H5" i="2"/>
  <c r="H6" i="2"/>
  <c r="H7" i="2"/>
  <c r="H8" i="2"/>
  <c r="E8" i="2"/>
  <c r="E7" i="2"/>
  <c r="E6" i="2"/>
  <c r="E5" i="2"/>
  <c r="E3" i="2"/>
  <c r="E2" i="2"/>
  <c r="H2" i="2"/>
  <c r="H3" i="2"/>
  <c r="H1" i="2"/>
  <c r="K35" i="1"/>
  <c r="K36" i="1"/>
  <c r="K37" i="1"/>
  <c r="K38" i="1"/>
  <c r="K39" i="1"/>
  <c r="K34" i="1"/>
  <c r="K30" i="1"/>
  <c r="K29" i="1"/>
  <c r="K28" i="1"/>
  <c r="K26" i="1"/>
  <c r="K23" i="1"/>
  <c r="J23" i="1"/>
  <c r="I23" i="1"/>
  <c r="H23" i="1"/>
  <c r="G23" i="1"/>
  <c r="F23" i="1"/>
  <c r="E23" i="1"/>
  <c r="D23" i="1"/>
  <c r="C23" i="1"/>
  <c r="K22" i="1"/>
  <c r="J22" i="1"/>
  <c r="I22" i="1"/>
  <c r="H22" i="1"/>
  <c r="G22" i="1"/>
  <c r="F22" i="1"/>
  <c r="E22" i="1"/>
  <c r="D22" i="1"/>
  <c r="C22" i="1"/>
  <c r="K21" i="1"/>
  <c r="J21" i="1"/>
  <c r="I21" i="1"/>
  <c r="H21" i="1"/>
  <c r="G21" i="1"/>
  <c r="F21" i="1"/>
  <c r="E21" i="1"/>
  <c r="D21" i="1"/>
  <c r="C21" i="1"/>
  <c r="K20" i="1"/>
  <c r="J20" i="1"/>
  <c r="I20" i="1"/>
  <c r="H20" i="1"/>
  <c r="G20" i="1"/>
  <c r="F20" i="1"/>
  <c r="E20" i="1"/>
  <c r="D20" i="1"/>
  <c r="C20" i="1"/>
  <c r="K19" i="1"/>
  <c r="J19" i="1"/>
  <c r="I19" i="1"/>
  <c r="H19" i="1"/>
  <c r="G19" i="1"/>
  <c r="F19" i="1"/>
  <c r="E19" i="1"/>
  <c r="D19" i="1"/>
  <c r="C19" i="1"/>
  <c r="K18" i="1"/>
  <c r="J18" i="1"/>
  <c r="I18" i="1"/>
  <c r="H18" i="1"/>
  <c r="G18" i="1"/>
  <c r="F18" i="1"/>
  <c r="E18" i="1"/>
  <c r="D18" i="1"/>
  <c r="C18" i="1"/>
  <c r="B23" i="1"/>
  <c r="B22" i="1"/>
  <c r="B21" i="1"/>
  <c r="B20" i="1"/>
  <c r="B19" i="1"/>
  <c r="B18" i="1"/>
</calcChain>
</file>

<file path=xl/sharedStrings.xml><?xml version="1.0" encoding="utf-8"?>
<sst xmlns="http://schemas.openxmlformats.org/spreadsheetml/2006/main" count="191" uniqueCount="85">
  <si>
    <t>Town</t>
  </si>
  <si>
    <t>Worcester</t>
  </si>
  <si>
    <t>Holden</t>
  </si>
  <si>
    <t>Leicester</t>
  </si>
  <si>
    <t>Millbury</t>
  </si>
  <si>
    <t>Shrewsbury</t>
  </si>
  <si>
    <t>West Boylston</t>
  </si>
  <si>
    <t>All 2005</t>
  </si>
  <si>
    <t>All 2006</t>
  </si>
  <si>
    <t>All 2007</t>
  </si>
  <si>
    <t>All 2008</t>
  </si>
  <si>
    <t>All 2009</t>
  </si>
  <si>
    <t>All 2011</t>
  </si>
  <si>
    <t>All 2012</t>
  </si>
  <si>
    <t>All 2013</t>
  </si>
  <si>
    <t>All 2014</t>
  </si>
  <si>
    <t>All 2010</t>
  </si>
  <si>
    <t>Opiate Rate 2005</t>
  </si>
  <si>
    <t>Opiate Rate 2006</t>
  </si>
  <si>
    <t>Opiate Rate 2007</t>
  </si>
  <si>
    <t>Opiate Rate 2008</t>
  </si>
  <si>
    <t>Opiate Rate 2009</t>
  </si>
  <si>
    <t>Opiate Rate 2010</t>
  </si>
  <si>
    <t>Opiate Rate 2011</t>
  </si>
  <si>
    <t>Opiate Rate 2012</t>
  </si>
  <si>
    <t>Opiate Rate 2013</t>
  </si>
  <si>
    <t>Opiate Rate 2014</t>
  </si>
  <si>
    <t>&lt;= 100</t>
  </si>
  <si>
    <t xml:space="preserve"> &lt;= 100 </t>
  </si>
  <si>
    <t>Notes</t>
  </si>
  <si>
    <t>other opiod rate unavailable for 2005, 2006, 2007, and 2009</t>
  </si>
  <si>
    <t>other opiod rate unavailable for 2005 and 2006</t>
  </si>
  <si>
    <t>other opiod rate unavailable for 2006, 2007, 2008, and 2014</t>
  </si>
  <si>
    <t>Opioid Admissions 2005</t>
  </si>
  <si>
    <t>Opioid Admissions 2006</t>
  </si>
  <si>
    <t>Opioid Admissions 2007</t>
  </si>
  <si>
    <t>Opioid Admissions 2008</t>
  </si>
  <si>
    <t>Opioid Admissions 2009</t>
  </si>
  <si>
    <t>Opioid Admissions 2010</t>
  </si>
  <si>
    <t>Opioid Admissions 2011</t>
  </si>
  <si>
    <t>Opioid Admissions 2012</t>
  </si>
  <si>
    <t>Opioid Admissions 2013</t>
  </si>
  <si>
    <t>Opioid Admissions 2014</t>
  </si>
  <si>
    <t>People Served 2014</t>
  </si>
  <si>
    <t>People/Admissions 2014</t>
  </si>
  <si>
    <t>n/a</t>
  </si>
  <si>
    <t>Male</t>
  </si>
  <si>
    <t>Female</t>
  </si>
  <si>
    <t>BSAS Population</t>
  </si>
  <si>
    <t>Opioid Estimate</t>
  </si>
  <si>
    <t>Black</t>
  </si>
  <si>
    <t>Multiracial</t>
  </si>
  <si>
    <t>Other</t>
  </si>
  <si>
    <t>White</t>
  </si>
  <si>
    <t>Hispanic</t>
  </si>
  <si>
    <t>Non-Hispanic</t>
  </si>
  <si>
    <t>Less Than High School</t>
  </si>
  <si>
    <t>Completed High School</t>
  </si>
  <si>
    <t>More Than High School</t>
  </si>
  <si>
    <t>Married</t>
  </si>
  <si>
    <t>Never Married</t>
  </si>
  <si>
    <t>Separated</t>
  </si>
  <si>
    <t>Divorced</t>
  </si>
  <si>
    <t>Partnership</t>
  </si>
  <si>
    <t>Widowed</t>
  </si>
  <si>
    <t>Less Than 18</t>
  </si>
  <si>
    <t>18 to 25</t>
  </si>
  <si>
    <t>26 to 30</t>
  </si>
  <si>
    <t>31 to 40</t>
  </si>
  <si>
    <t>41 to 50</t>
  </si>
  <si>
    <t>51 and Older</t>
  </si>
  <si>
    <t>Employed</t>
  </si>
  <si>
    <t>Unemployed</t>
  </si>
  <si>
    <t>Homeless</t>
  </si>
  <si>
    <t>Not Homeless</t>
  </si>
  <si>
    <t>Past Year Needle Use</t>
  </si>
  <si>
    <t>No Past Year Needle Use</t>
  </si>
  <si>
    <t>Prior Mental Health Treatment</t>
  </si>
  <si>
    <t>No Prior Mental Health Treatment</t>
  </si>
  <si>
    <t>1. BSAS percentages are based on the number of admissions, not people.  Therefore, the number of people in each category is an estimate.</t>
  </si>
  <si>
    <t>2. The number of people treated for opiate use is estimated to be 67.3% of all BSAS people for all categories, due to the fact that 67.3% of admissions were for heroin or other opiates.</t>
  </si>
  <si>
    <t>3. The population and demographics are from 2010, while the BSAS data is from 2014.</t>
  </si>
  <si>
    <t>4. Ages from the general population are estimates, as the census has provided different age brackets.</t>
  </si>
  <si>
    <t>5. Educational attainment from the census is only for those 25 and older.</t>
  </si>
  <si>
    <t>General Population 15+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</si>
</sst>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64" fontId="0" fillId="0" borderId="0" xfId="1" applyNumberFormat="1" applyFont="1"/>
    <xf numFmtId="164" fontId="0" fillId="0" borderId="0" xfId="0" applyNumberFormat="1"/>
    <xf numFmtId="164" fontId="6" fillId="0" borderId="0" xfId="0" applyNumberFormat="1" applyFont="1"/>
    <xf numFmtId="0" fontId="7" fillId="0" borderId="0" xfId="0" applyFont="1"/>
    <xf numFmtId="164" fontId="8" fillId="0" borderId="0" xfId="1" applyNumberFormat="1" applyFont="1"/>
    <xf numFmtId="10" fontId="7" fillId="0" borderId="0" xfId="52" applyNumberFormat="1" applyFont="1"/>
    <xf numFmtId="10" fontId="0" fillId="0" borderId="0" xfId="52" applyNumberFormat="1" applyFont="1"/>
  </cellXfs>
  <cellStyles count="53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Percent" xfId="5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Ruler="0" topLeftCell="C22" workbookViewId="0">
      <selection activeCell="K35" sqref="K35"/>
    </sheetView>
  </sheetViews>
  <sheetFormatPr baseColWidth="10" defaultRowHeight="15" x14ac:dyDescent="0"/>
  <cols>
    <col min="1" max="1" width="13" bestFit="1" customWidth="1"/>
    <col min="2" max="11" width="20.83203125" bestFit="1" customWidth="1"/>
    <col min="12" max="12" width="50.1640625" bestFit="1" customWidth="1"/>
  </cols>
  <sheetData>
    <row r="1" spans="1:12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16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29</v>
      </c>
    </row>
    <row r="2" spans="1:12">
      <c r="A2" t="s">
        <v>1</v>
      </c>
      <c r="B2" s="2">
        <v>4727</v>
      </c>
      <c r="C2" s="2">
        <v>4167</v>
      </c>
      <c r="D2" s="2">
        <v>4403</v>
      </c>
      <c r="E2" s="2">
        <v>4691</v>
      </c>
      <c r="F2" s="2">
        <v>5034</v>
      </c>
      <c r="G2" s="2">
        <v>4838</v>
      </c>
      <c r="H2" s="2">
        <v>4400</v>
      </c>
      <c r="I2" s="2">
        <v>4134</v>
      </c>
      <c r="J2" s="2">
        <v>4608</v>
      </c>
      <c r="K2" s="2">
        <v>4915</v>
      </c>
    </row>
    <row r="3" spans="1:12">
      <c r="A3" t="s">
        <v>2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>
        <v>105</v>
      </c>
      <c r="I3" s="4" t="s">
        <v>28</v>
      </c>
      <c r="J3" s="2">
        <v>113</v>
      </c>
      <c r="K3" s="2">
        <v>101</v>
      </c>
    </row>
    <row r="4" spans="1:12">
      <c r="A4" t="s">
        <v>3</v>
      </c>
      <c r="B4" s="2">
        <v>105</v>
      </c>
      <c r="C4" s="2">
        <v>110</v>
      </c>
      <c r="D4" s="2">
        <v>133</v>
      </c>
      <c r="E4" s="2">
        <v>116</v>
      </c>
      <c r="F4" s="2">
        <v>129</v>
      </c>
      <c r="G4" s="2">
        <v>128</v>
      </c>
      <c r="H4" s="2">
        <v>114</v>
      </c>
      <c r="I4" s="2">
        <v>130</v>
      </c>
      <c r="J4" s="2" t="s">
        <v>27</v>
      </c>
      <c r="K4" s="2">
        <v>126</v>
      </c>
    </row>
    <row r="5" spans="1:12">
      <c r="A5" t="s">
        <v>4</v>
      </c>
      <c r="B5" s="2">
        <v>132</v>
      </c>
      <c r="C5" s="2">
        <v>127</v>
      </c>
      <c r="D5" s="2">
        <v>171</v>
      </c>
      <c r="E5" s="2">
        <v>146</v>
      </c>
      <c r="F5" s="2">
        <v>221</v>
      </c>
      <c r="G5" s="2">
        <v>213</v>
      </c>
      <c r="H5" s="2">
        <v>190</v>
      </c>
      <c r="I5" s="2">
        <v>179</v>
      </c>
      <c r="J5" s="2">
        <v>229</v>
      </c>
      <c r="K5" s="2">
        <v>223</v>
      </c>
    </row>
    <row r="6" spans="1:12">
      <c r="A6" t="s">
        <v>5</v>
      </c>
      <c r="B6" s="2">
        <v>154</v>
      </c>
      <c r="C6" s="2">
        <v>153</v>
      </c>
      <c r="D6" s="2">
        <v>162</v>
      </c>
      <c r="E6" s="2">
        <v>178</v>
      </c>
      <c r="F6" s="2">
        <v>192</v>
      </c>
      <c r="G6" s="2">
        <v>255</v>
      </c>
      <c r="H6" s="2">
        <v>202</v>
      </c>
      <c r="I6" s="2">
        <v>240</v>
      </c>
      <c r="J6" s="2">
        <v>192</v>
      </c>
      <c r="K6" s="2">
        <v>253</v>
      </c>
    </row>
    <row r="7" spans="1:12">
      <c r="A7" t="s">
        <v>6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>
        <v>107</v>
      </c>
      <c r="H7" s="2" t="s">
        <v>27</v>
      </c>
      <c r="I7" s="2" t="s">
        <v>27</v>
      </c>
      <c r="J7" s="2" t="s">
        <v>27</v>
      </c>
      <c r="K7" s="2" t="s">
        <v>27</v>
      </c>
    </row>
    <row r="9" spans="1:12" s="1" customFormat="1"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</row>
    <row r="10" spans="1:12">
      <c r="A10" t="s">
        <v>1</v>
      </c>
      <c r="B10">
        <v>0.60399999999999998</v>
      </c>
      <c r="C10">
        <v>0.53600000000000003</v>
      </c>
      <c r="D10">
        <v>0.502</v>
      </c>
      <c r="E10">
        <v>0.50600000000000001</v>
      </c>
      <c r="F10">
        <v>0.498</v>
      </c>
      <c r="G10">
        <v>0.53400000000000003</v>
      </c>
      <c r="H10">
        <v>0.56100000000000005</v>
      </c>
      <c r="I10">
        <v>0.621</v>
      </c>
      <c r="J10">
        <v>0.66700000000000004</v>
      </c>
      <c r="K10">
        <v>0.67300000000000004</v>
      </c>
    </row>
    <row r="11" spans="1:12">
      <c r="A11" t="s">
        <v>2</v>
      </c>
      <c r="B11">
        <v>0.192</v>
      </c>
      <c r="C11">
        <v>0.17499999999999999</v>
      </c>
      <c r="D11">
        <v>0.20799999999999999</v>
      </c>
      <c r="E11">
        <v>0.26900000000000002</v>
      </c>
      <c r="F11">
        <v>0.11700000000000001</v>
      </c>
      <c r="G11">
        <v>0.28399999999999997</v>
      </c>
      <c r="H11">
        <v>0.34300000000000003</v>
      </c>
      <c r="I11">
        <v>0.48699999999999999</v>
      </c>
      <c r="J11">
        <v>0.58399999999999996</v>
      </c>
      <c r="K11">
        <v>0.65300000000000002</v>
      </c>
      <c r="L11" t="s">
        <v>30</v>
      </c>
    </row>
    <row r="12" spans="1:12">
      <c r="A12" t="s">
        <v>3</v>
      </c>
      <c r="B12">
        <v>0.22900000000000001</v>
      </c>
      <c r="C12">
        <v>0.33600000000000002</v>
      </c>
      <c r="D12">
        <v>0.24</v>
      </c>
      <c r="E12">
        <v>0.27600000000000002</v>
      </c>
      <c r="F12">
        <v>0.372</v>
      </c>
      <c r="G12">
        <v>0.53900000000000003</v>
      </c>
      <c r="H12">
        <v>0.58699999999999997</v>
      </c>
      <c r="I12">
        <v>0.53900000000000003</v>
      </c>
      <c r="J12">
        <v>0.46899999999999997</v>
      </c>
      <c r="K12">
        <v>0.56399999999999995</v>
      </c>
      <c r="L12" t="s">
        <v>31</v>
      </c>
    </row>
    <row r="13" spans="1:12">
      <c r="A13" t="s">
        <v>4</v>
      </c>
      <c r="B13">
        <v>0.46200000000000002</v>
      </c>
      <c r="C13">
        <v>0.44900000000000001</v>
      </c>
      <c r="D13">
        <v>0.41</v>
      </c>
      <c r="E13">
        <v>0.35699999999999998</v>
      </c>
      <c r="F13">
        <v>0.36199999999999999</v>
      </c>
      <c r="G13">
        <v>0.46</v>
      </c>
      <c r="H13">
        <v>0.6</v>
      </c>
      <c r="I13">
        <v>0.63700000000000001</v>
      </c>
      <c r="J13">
        <v>0.65500000000000003</v>
      </c>
      <c r="K13">
        <v>0.67300000000000004</v>
      </c>
    </row>
    <row r="14" spans="1:12">
      <c r="A14" t="s">
        <v>5</v>
      </c>
      <c r="B14">
        <v>0.37</v>
      </c>
      <c r="C14">
        <v>0.27500000000000002</v>
      </c>
      <c r="D14">
        <v>0.33400000000000002</v>
      </c>
      <c r="E14">
        <v>0.30299999999999999</v>
      </c>
      <c r="F14">
        <v>0.25</v>
      </c>
      <c r="G14">
        <v>0.373</v>
      </c>
      <c r="H14">
        <v>0.48099999999999998</v>
      </c>
      <c r="I14">
        <v>0.54600000000000004</v>
      </c>
      <c r="J14">
        <v>0.54200000000000004</v>
      </c>
      <c r="K14">
        <v>0.58499999999999996</v>
      </c>
    </row>
    <row r="15" spans="1:12">
      <c r="A15" t="s">
        <v>6</v>
      </c>
      <c r="B15">
        <v>0.436</v>
      </c>
      <c r="C15">
        <v>0.33300000000000002</v>
      </c>
      <c r="D15">
        <v>0.33300000000000002</v>
      </c>
      <c r="E15">
        <v>0.27400000000000002</v>
      </c>
      <c r="F15">
        <v>0.34899999999999998</v>
      </c>
      <c r="G15">
        <v>0.373</v>
      </c>
      <c r="H15">
        <v>0.36299999999999999</v>
      </c>
      <c r="I15">
        <v>0.63400000000000001</v>
      </c>
      <c r="J15">
        <v>0.60899999999999999</v>
      </c>
      <c r="K15">
        <v>0.56799999999999995</v>
      </c>
      <c r="L15" t="s">
        <v>32</v>
      </c>
    </row>
    <row r="17" spans="1:12" s="1" customFormat="1">
      <c r="B17" s="1" t="s">
        <v>33</v>
      </c>
      <c r="C17" s="1" t="s">
        <v>34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</row>
    <row r="18" spans="1:12">
      <c r="A18" t="s">
        <v>1</v>
      </c>
      <c r="B18" s="3">
        <f>B2*B10</f>
        <v>2855.1079999999997</v>
      </c>
      <c r="C18" s="3">
        <f t="shared" ref="C18:K18" si="0">C2*C10</f>
        <v>2233.5120000000002</v>
      </c>
      <c r="D18" s="3">
        <f t="shared" si="0"/>
        <v>2210.306</v>
      </c>
      <c r="E18" s="3">
        <f t="shared" si="0"/>
        <v>2373.6460000000002</v>
      </c>
      <c r="F18" s="3">
        <f t="shared" si="0"/>
        <v>2506.9319999999998</v>
      </c>
      <c r="G18" s="3">
        <f t="shared" si="0"/>
        <v>2583.4920000000002</v>
      </c>
      <c r="H18" s="3">
        <f t="shared" si="0"/>
        <v>2468.4</v>
      </c>
      <c r="I18" s="3">
        <f t="shared" si="0"/>
        <v>2567.2139999999999</v>
      </c>
      <c r="J18" s="3">
        <f t="shared" si="0"/>
        <v>3073.5360000000001</v>
      </c>
      <c r="K18" s="3">
        <f t="shared" si="0"/>
        <v>3307.7950000000001</v>
      </c>
    </row>
    <row r="19" spans="1:12">
      <c r="A19" t="s">
        <v>2</v>
      </c>
      <c r="B19" s="3" t="e">
        <f t="shared" ref="B19:K23" si="1">B3*B11</f>
        <v>#VALUE!</v>
      </c>
      <c r="C19" s="3" t="e">
        <f t="shared" si="1"/>
        <v>#VALUE!</v>
      </c>
      <c r="D19" s="3" t="e">
        <f t="shared" si="1"/>
        <v>#VALUE!</v>
      </c>
      <c r="E19" s="3" t="e">
        <f t="shared" si="1"/>
        <v>#VALUE!</v>
      </c>
      <c r="F19" s="3" t="e">
        <f t="shared" si="1"/>
        <v>#VALUE!</v>
      </c>
      <c r="G19" s="3" t="e">
        <f t="shared" si="1"/>
        <v>#VALUE!</v>
      </c>
      <c r="H19" s="3">
        <f t="shared" si="1"/>
        <v>36.015000000000001</v>
      </c>
      <c r="I19" s="3" t="e">
        <f t="shared" si="1"/>
        <v>#VALUE!</v>
      </c>
      <c r="J19" s="3">
        <f t="shared" si="1"/>
        <v>65.99199999999999</v>
      </c>
      <c r="K19" s="3">
        <f t="shared" si="1"/>
        <v>65.953000000000003</v>
      </c>
    </row>
    <row r="20" spans="1:12">
      <c r="A20" t="s">
        <v>3</v>
      </c>
      <c r="B20" s="3">
        <f t="shared" si="1"/>
        <v>24.045000000000002</v>
      </c>
      <c r="C20" s="3">
        <f t="shared" si="1"/>
        <v>36.96</v>
      </c>
      <c r="D20" s="3">
        <f t="shared" si="1"/>
        <v>31.919999999999998</v>
      </c>
      <c r="E20" s="3">
        <f t="shared" si="1"/>
        <v>32.016000000000005</v>
      </c>
      <c r="F20" s="3">
        <f t="shared" si="1"/>
        <v>47.988</v>
      </c>
      <c r="G20" s="3">
        <f t="shared" si="1"/>
        <v>68.992000000000004</v>
      </c>
      <c r="H20" s="3">
        <f t="shared" si="1"/>
        <v>66.917999999999992</v>
      </c>
      <c r="I20" s="3">
        <f t="shared" si="1"/>
        <v>70.070000000000007</v>
      </c>
      <c r="J20" s="3" t="e">
        <f t="shared" si="1"/>
        <v>#VALUE!</v>
      </c>
      <c r="K20" s="3">
        <f t="shared" si="1"/>
        <v>71.063999999999993</v>
      </c>
      <c r="L20" t="s">
        <v>31</v>
      </c>
    </row>
    <row r="21" spans="1:12">
      <c r="A21" t="s">
        <v>4</v>
      </c>
      <c r="B21" s="3">
        <f t="shared" si="1"/>
        <v>60.984000000000002</v>
      </c>
      <c r="C21" s="3">
        <f t="shared" si="1"/>
        <v>57.023000000000003</v>
      </c>
      <c r="D21" s="3">
        <f t="shared" si="1"/>
        <v>70.11</v>
      </c>
      <c r="E21" s="3">
        <f t="shared" si="1"/>
        <v>52.122</v>
      </c>
      <c r="F21" s="3">
        <f t="shared" si="1"/>
        <v>80.001999999999995</v>
      </c>
      <c r="G21" s="3">
        <f t="shared" si="1"/>
        <v>97.98</v>
      </c>
      <c r="H21" s="3">
        <f t="shared" si="1"/>
        <v>114</v>
      </c>
      <c r="I21" s="3">
        <f t="shared" si="1"/>
        <v>114.023</v>
      </c>
      <c r="J21" s="3">
        <f t="shared" si="1"/>
        <v>149.995</v>
      </c>
      <c r="K21" s="3">
        <f t="shared" si="1"/>
        <v>150.07900000000001</v>
      </c>
    </row>
    <row r="22" spans="1:12">
      <c r="A22" t="s">
        <v>5</v>
      </c>
      <c r="B22" s="3">
        <f t="shared" si="1"/>
        <v>56.98</v>
      </c>
      <c r="C22" s="3">
        <f t="shared" si="1"/>
        <v>42.075000000000003</v>
      </c>
      <c r="D22" s="3">
        <f t="shared" si="1"/>
        <v>54.108000000000004</v>
      </c>
      <c r="E22" s="3">
        <f t="shared" si="1"/>
        <v>53.933999999999997</v>
      </c>
      <c r="F22" s="3">
        <f t="shared" si="1"/>
        <v>48</v>
      </c>
      <c r="G22" s="3">
        <f t="shared" si="1"/>
        <v>95.114999999999995</v>
      </c>
      <c r="H22" s="3">
        <f t="shared" si="1"/>
        <v>97.161999999999992</v>
      </c>
      <c r="I22" s="3">
        <f t="shared" si="1"/>
        <v>131.04000000000002</v>
      </c>
      <c r="J22" s="3">
        <f t="shared" si="1"/>
        <v>104.06400000000001</v>
      </c>
      <c r="K22" s="3">
        <f t="shared" si="1"/>
        <v>148.005</v>
      </c>
    </row>
    <row r="23" spans="1:12">
      <c r="A23" t="s">
        <v>6</v>
      </c>
      <c r="B23" s="3" t="e">
        <f t="shared" si="1"/>
        <v>#VALUE!</v>
      </c>
      <c r="C23" s="3" t="e">
        <f t="shared" si="1"/>
        <v>#VALUE!</v>
      </c>
      <c r="D23" s="3" t="e">
        <f t="shared" si="1"/>
        <v>#VALUE!</v>
      </c>
      <c r="E23" s="3" t="e">
        <f t="shared" si="1"/>
        <v>#VALUE!</v>
      </c>
      <c r="F23" s="3" t="e">
        <f t="shared" si="1"/>
        <v>#VALUE!</v>
      </c>
      <c r="G23" s="3">
        <f t="shared" si="1"/>
        <v>39.911000000000001</v>
      </c>
      <c r="H23" s="3" t="e">
        <f t="shared" si="1"/>
        <v>#VALUE!</v>
      </c>
      <c r="I23" s="3" t="e">
        <f t="shared" si="1"/>
        <v>#VALUE!</v>
      </c>
      <c r="J23" s="3" t="e">
        <f t="shared" si="1"/>
        <v>#VALUE!</v>
      </c>
      <c r="K23" s="3" t="e">
        <f t="shared" si="1"/>
        <v>#VALUE!</v>
      </c>
    </row>
    <row r="25" spans="1:12">
      <c r="K25" s="1" t="s">
        <v>44</v>
      </c>
    </row>
    <row r="26" spans="1:12">
      <c r="A26" t="s">
        <v>1</v>
      </c>
      <c r="K26">
        <f>4073/5017</f>
        <v>0.8118397448674507</v>
      </c>
    </row>
    <row r="27" spans="1:12">
      <c r="A27" t="s">
        <v>2</v>
      </c>
      <c r="K27" t="s">
        <v>45</v>
      </c>
    </row>
    <row r="28" spans="1:12">
      <c r="A28" t="s">
        <v>3</v>
      </c>
      <c r="K28">
        <f>128/153</f>
        <v>0.83660130718954251</v>
      </c>
    </row>
    <row r="29" spans="1:12">
      <c r="A29" t="s">
        <v>4</v>
      </c>
      <c r="K29">
        <f>231/269</f>
        <v>0.85873605947955389</v>
      </c>
    </row>
    <row r="30" spans="1:12">
      <c r="A30" t="s">
        <v>5</v>
      </c>
      <c r="K30">
        <f>232/256</f>
        <v>0.90625</v>
      </c>
    </row>
    <row r="31" spans="1:12">
      <c r="A31" t="s">
        <v>6</v>
      </c>
      <c r="K31" t="s">
        <v>27</v>
      </c>
    </row>
    <row r="33" spans="1:11">
      <c r="K33" s="1" t="s">
        <v>43</v>
      </c>
    </row>
    <row r="34" spans="1:11">
      <c r="A34" t="s">
        <v>1</v>
      </c>
      <c r="K34" s="3">
        <f>K18*K26</f>
        <v>2685.399448873829</v>
      </c>
    </row>
    <row r="35" spans="1:11">
      <c r="A35" t="s">
        <v>2</v>
      </c>
      <c r="K35" s="3" t="e">
        <f t="shared" ref="K35:K39" si="2">K19*K27</f>
        <v>#VALUE!</v>
      </c>
    </row>
    <row r="36" spans="1:11">
      <c r="A36" t="s">
        <v>3</v>
      </c>
      <c r="K36" s="3">
        <f t="shared" si="2"/>
        <v>59.452235294117642</v>
      </c>
    </row>
    <row r="37" spans="1:11">
      <c r="A37" t="s">
        <v>4</v>
      </c>
      <c r="K37" s="3">
        <f t="shared" si="2"/>
        <v>128.87824907063197</v>
      </c>
    </row>
    <row r="38" spans="1:11">
      <c r="A38" t="s">
        <v>5</v>
      </c>
      <c r="K38" s="3">
        <f t="shared" si="2"/>
        <v>134.12953124999999</v>
      </c>
    </row>
    <row r="39" spans="1:11">
      <c r="A39" t="s">
        <v>6</v>
      </c>
      <c r="K39" s="3" t="e">
        <f t="shared" si="2"/>
        <v>#VALUE!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showRuler="0" workbookViewId="0">
      <selection activeCell="F8" sqref="F8"/>
    </sheetView>
  </sheetViews>
  <sheetFormatPr baseColWidth="10" defaultRowHeight="15" x14ac:dyDescent="0"/>
  <cols>
    <col min="1" max="1" width="29.83203125" bestFit="1" customWidth="1"/>
    <col min="2" max="2" width="10.33203125" style="2" bestFit="1" customWidth="1"/>
    <col min="4" max="4" width="29.83203125" bestFit="1" customWidth="1"/>
    <col min="5" max="5" width="12.1640625" style="2" bestFit="1" customWidth="1"/>
    <col min="6" max="6" width="10.83203125" style="8"/>
    <col min="7" max="7" width="29.83203125" bestFit="1" customWidth="1"/>
    <col min="8" max="8" width="10.83203125" style="2"/>
    <col min="10" max="10" width="10.83203125" style="8"/>
  </cols>
  <sheetData>
    <row r="1" spans="1:10" s="5" customFormat="1" ht="18">
      <c r="A1" s="5" t="s">
        <v>84</v>
      </c>
      <c r="B1" s="6">
        <f>B2+B3</f>
        <v>147983</v>
      </c>
      <c r="D1" s="5" t="s">
        <v>48</v>
      </c>
      <c r="E1" s="6">
        <v>4073</v>
      </c>
      <c r="F1" s="7">
        <f>E1/B1</f>
        <v>2.752343174553834E-2</v>
      </c>
      <c r="G1" s="5" t="s">
        <v>49</v>
      </c>
      <c r="H1" s="6">
        <f>0.673*E1</f>
        <v>2741.1290000000004</v>
      </c>
      <c r="J1" s="7">
        <f>H1/B1</f>
        <v>1.8523269564747303E-2</v>
      </c>
    </row>
    <row r="2" spans="1:10" s="1" customFormat="1" ht="18">
      <c r="A2" s="1" t="s">
        <v>46</v>
      </c>
      <c r="B2" s="2">
        <v>70629</v>
      </c>
      <c r="D2" s="1" t="s">
        <v>46</v>
      </c>
      <c r="E2" s="2">
        <f>0.725*E1</f>
        <v>2952.9249999999997</v>
      </c>
      <c r="F2" s="7">
        <f t="shared" ref="F2:F42" si="0">E2/B2</f>
        <v>4.1808959492559708E-2</v>
      </c>
      <c r="G2" s="1" t="s">
        <v>46</v>
      </c>
      <c r="H2" s="2">
        <f t="shared" ref="H2:H42" si="1">0.673*E2</f>
        <v>1987.3185249999999</v>
      </c>
      <c r="J2" s="7">
        <f t="shared" ref="J2:J11" si="2">H2/B2</f>
        <v>2.8137429738492686E-2</v>
      </c>
    </row>
    <row r="3" spans="1:10" s="1" customFormat="1" ht="18">
      <c r="A3" s="1" t="s">
        <v>47</v>
      </c>
      <c r="B3" s="2">
        <v>77354</v>
      </c>
      <c r="D3" s="1" t="s">
        <v>47</v>
      </c>
      <c r="E3" s="2">
        <f>0.275*E1</f>
        <v>1120.075</v>
      </c>
      <c r="F3" s="7">
        <f t="shared" si="0"/>
        <v>1.4479858830829693E-2</v>
      </c>
      <c r="G3" s="1" t="s">
        <v>47</v>
      </c>
      <c r="H3" s="2">
        <f t="shared" si="1"/>
        <v>753.81047500000011</v>
      </c>
      <c r="J3" s="7">
        <f t="shared" si="2"/>
        <v>9.7449449931483849E-3</v>
      </c>
    </row>
    <row r="4" spans="1:10" ht="18">
      <c r="F4" s="7" t="e">
        <f t="shared" si="0"/>
        <v>#DIV/0!</v>
      </c>
      <c r="J4" s="7"/>
    </row>
    <row r="5" spans="1:10" ht="18">
      <c r="A5" s="1" t="s">
        <v>50</v>
      </c>
      <c r="B5" s="2">
        <f>0.116*B1</f>
        <v>17166.028000000002</v>
      </c>
      <c r="C5">
        <f>B5/B1</f>
        <v>0.11600000000000002</v>
      </c>
      <c r="D5" s="1" t="s">
        <v>50</v>
      </c>
      <c r="E5" s="2">
        <f>0.063*E1</f>
        <v>256.59899999999999</v>
      </c>
      <c r="F5" s="7">
        <f t="shared" si="0"/>
        <v>1.4948070689387199E-2</v>
      </c>
      <c r="G5" s="1" t="s">
        <v>50</v>
      </c>
      <c r="H5" s="2">
        <f t="shared" si="1"/>
        <v>172.69112699999999</v>
      </c>
      <c r="I5">
        <f>E5/B5</f>
        <v>1.4948070689387199E-2</v>
      </c>
      <c r="J5" s="7">
        <f t="shared" si="2"/>
        <v>1.0060051573957585E-2</v>
      </c>
    </row>
    <row r="6" spans="1:10" ht="18">
      <c r="A6" s="1" t="s">
        <v>51</v>
      </c>
      <c r="B6" s="2">
        <f>0.04*B1</f>
        <v>5919.32</v>
      </c>
      <c r="D6" s="1" t="s">
        <v>51</v>
      </c>
      <c r="E6" s="2">
        <f>0.036*E1</f>
        <v>146.62799999999999</v>
      </c>
      <c r="F6" s="7">
        <f t="shared" si="0"/>
        <v>2.4771088570984503E-2</v>
      </c>
      <c r="G6" s="1" t="s">
        <v>51</v>
      </c>
      <c r="H6" s="2">
        <f t="shared" si="1"/>
        <v>98.680644000000001</v>
      </c>
      <c r="J6" s="7">
        <f t="shared" si="2"/>
        <v>1.6670942608272572E-2</v>
      </c>
    </row>
    <row r="7" spans="1:10" ht="18">
      <c r="A7" s="1" t="s">
        <v>52</v>
      </c>
      <c r="B7" s="2">
        <f>B1-B5-B6-B8</f>
        <v>22197.450000000012</v>
      </c>
      <c r="D7" s="1" t="s">
        <v>52</v>
      </c>
      <c r="E7" s="2">
        <f>0.205*E1</f>
        <v>834.96499999999992</v>
      </c>
      <c r="F7" s="7">
        <f t="shared" si="0"/>
        <v>3.7615356718902371E-2</v>
      </c>
      <c r="G7" s="1" t="s">
        <v>52</v>
      </c>
      <c r="H7" s="2">
        <f t="shared" si="1"/>
        <v>561.93144499999994</v>
      </c>
      <c r="J7" s="7">
        <f t="shared" si="2"/>
        <v>2.5315135071821298E-2</v>
      </c>
    </row>
    <row r="8" spans="1:10" ht="18">
      <c r="A8" s="1" t="s">
        <v>53</v>
      </c>
      <c r="B8" s="2">
        <f>0.694*B1</f>
        <v>102700.20199999999</v>
      </c>
      <c r="C8">
        <f>B8/B1</f>
        <v>0.69399999999999995</v>
      </c>
      <c r="D8" s="1" t="s">
        <v>53</v>
      </c>
      <c r="E8" s="2">
        <f>0.695*E1</f>
        <v>2830.7349999999997</v>
      </c>
      <c r="F8" s="7">
        <f t="shared" si="0"/>
        <v>2.7563090869090989E-2</v>
      </c>
      <c r="G8" s="1" t="s">
        <v>53</v>
      </c>
      <c r="H8" s="2">
        <f t="shared" si="1"/>
        <v>1905.0846549999999</v>
      </c>
      <c r="I8">
        <f>E8/B8</f>
        <v>2.7563090869090989E-2</v>
      </c>
      <c r="J8" s="7">
        <f t="shared" si="2"/>
        <v>1.8549960154898234E-2</v>
      </c>
    </row>
    <row r="9" spans="1:10" ht="18">
      <c r="F9" s="7" t="e">
        <f t="shared" si="0"/>
        <v>#DIV/0!</v>
      </c>
      <c r="J9" s="7"/>
    </row>
    <row r="10" spans="1:10" ht="18">
      <c r="A10" s="1" t="s">
        <v>54</v>
      </c>
      <c r="B10" s="2">
        <f>0.209*B1</f>
        <v>30928.447</v>
      </c>
      <c r="D10" s="1" t="s">
        <v>54</v>
      </c>
      <c r="E10" s="2">
        <f>0.246*E1</f>
        <v>1001.958</v>
      </c>
      <c r="F10" s="7">
        <f t="shared" si="0"/>
        <v>3.2396001001925509E-2</v>
      </c>
      <c r="G10" s="1" t="s">
        <v>54</v>
      </c>
      <c r="H10" s="2">
        <f t="shared" si="1"/>
        <v>674.31773399999997</v>
      </c>
      <c r="J10" s="7">
        <f t="shared" si="2"/>
        <v>2.1802508674295867E-2</v>
      </c>
    </row>
    <row r="11" spans="1:10" ht="18">
      <c r="A11" s="1" t="s">
        <v>55</v>
      </c>
      <c r="B11" s="2">
        <f>0.791*B1</f>
        <v>117054.553</v>
      </c>
      <c r="D11" s="1" t="s">
        <v>55</v>
      </c>
      <c r="E11" s="2">
        <f>0.754*E1</f>
        <v>3071.0419999999999</v>
      </c>
      <c r="F11" s="7">
        <f t="shared" si="0"/>
        <v>2.623598929979255E-2</v>
      </c>
      <c r="G11" s="1" t="s">
        <v>55</v>
      </c>
      <c r="H11" s="2">
        <f t="shared" si="1"/>
        <v>2066.8112660000002</v>
      </c>
      <c r="J11" s="7">
        <f t="shared" si="2"/>
        <v>1.7656820798760388E-2</v>
      </c>
    </row>
    <row r="12" spans="1:10" ht="18">
      <c r="F12" s="7" t="e">
        <f t="shared" si="0"/>
        <v>#DIV/0!</v>
      </c>
    </row>
    <row r="13" spans="1:10" ht="18">
      <c r="A13" s="1" t="s">
        <v>56</v>
      </c>
      <c r="B13" s="2">
        <f>0.16*B1</f>
        <v>23677.279999999999</v>
      </c>
      <c r="D13" s="1" t="s">
        <v>56</v>
      </c>
      <c r="E13" s="2">
        <f>0.252*E1</f>
        <v>1026.396</v>
      </c>
      <c r="F13" s="7">
        <f t="shared" si="0"/>
        <v>4.3349404999222886E-2</v>
      </c>
      <c r="G13" s="1" t="s">
        <v>56</v>
      </c>
      <c r="H13" s="2">
        <f t="shared" si="1"/>
        <v>690.76450799999998</v>
      </c>
    </row>
    <row r="14" spans="1:10" ht="18">
      <c r="A14" s="1" t="s">
        <v>57</v>
      </c>
      <c r="B14" s="2">
        <f>0.295*B1</f>
        <v>43654.985000000001</v>
      </c>
      <c r="D14" s="1" t="s">
        <v>57</v>
      </c>
      <c r="E14" s="2">
        <f>0.479*E1</f>
        <v>1950.9669999999999</v>
      </c>
      <c r="F14" s="7">
        <f t="shared" si="0"/>
        <v>4.4690589173263941E-2</v>
      </c>
      <c r="G14" s="1" t="s">
        <v>57</v>
      </c>
      <c r="H14" s="2">
        <f t="shared" si="1"/>
        <v>1313.0007909999999</v>
      </c>
    </row>
    <row r="15" spans="1:10" ht="18">
      <c r="A15" s="1" t="s">
        <v>58</v>
      </c>
      <c r="B15" s="2">
        <f>B1-B13-B14</f>
        <v>80650.735000000001</v>
      </c>
      <c r="D15" s="1" t="s">
        <v>58</v>
      </c>
      <c r="E15" s="2">
        <f>0.254*E1</f>
        <v>1034.5419999999999</v>
      </c>
      <c r="F15" s="7">
        <f t="shared" si="0"/>
        <v>1.2827434244709611E-2</v>
      </c>
      <c r="G15" s="1" t="s">
        <v>58</v>
      </c>
      <c r="H15" s="2">
        <f t="shared" si="1"/>
        <v>696.24676599999998</v>
      </c>
    </row>
    <row r="16" spans="1:10" ht="18">
      <c r="A16" s="1" t="s">
        <v>52</v>
      </c>
      <c r="D16" s="1" t="s">
        <v>52</v>
      </c>
      <c r="E16" s="2">
        <f>0.014*E1</f>
        <v>57.021999999999998</v>
      </c>
      <c r="F16" s="7" t="e">
        <f t="shared" si="0"/>
        <v>#DIV/0!</v>
      </c>
      <c r="G16" s="1" t="s">
        <v>52</v>
      </c>
      <c r="H16" s="2">
        <f t="shared" si="1"/>
        <v>38.375806000000004</v>
      </c>
    </row>
    <row r="17" spans="1:8" ht="18">
      <c r="F17" s="7" t="e">
        <f t="shared" si="0"/>
        <v>#DIV/0!</v>
      </c>
    </row>
    <row r="18" spans="1:8" ht="18">
      <c r="A18" s="1" t="s">
        <v>59</v>
      </c>
      <c r="B18" s="2">
        <f>0.395*B2+0.357*B3</f>
        <v>55513.832999999999</v>
      </c>
      <c r="D18" s="1" t="s">
        <v>59</v>
      </c>
      <c r="E18" s="2">
        <f>0.08*E1</f>
        <v>325.84000000000003</v>
      </c>
      <c r="F18" s="7">
        <f t="shared" si="0"/>
        <v>5.869528050783307E-3</v>
      </c>
      <c r="G18" s="1" t="s">
        <v>59</v>
      </c>
      <c r="H18" s="2">
        <f t="shared" si="1"/>
        <v>219.29032000000004</v>
      </c>
    </row>
    <row r="19" spans="1:8" ht="18">
      <c r="A19" s="1" t="s">
        <v>60</v>
      </c>
      <c r="B19" s="2">
        <f>0.458*B2+0.393*B3</f>
        <v>62748.204000000005</v>
      </c>
      <c r="D19" s="1" t="s">
        <v>60</v>
      </c>
      <c r="E19" s="2">
        <f>0.711*E1</f>
        <v>2895.9029999999998</v>
      </c>
      <c r="F19" s="7">
        <f t="shared" si="0"/>
        <v>4.6151169521919694E-2</v>
      </c>
      <c r="G19" s="1" t="s">
        <v>60</v>
      </c>
      <c r="H19" s="2">
        <f t="shared" si="1"/>
        <v>1948.9427189999999</v>
      </c>
    </row>
    <row r="20" spans="1:8" ht="18">
      <c r="A20" s="1" t="s">
        <v>61</v>
      </c>
      <c r="B20" s="2">
        <f>0.023*B2+0.03*B3</f>
        <v>3945.0869999999995</v>
      </c>
      <c r="D20" s="1" t="s">
        <v>61</v>
      </c>
      <c r="E20" s="2">
        <f>0.045*E1</f>
        <v>183.285</v>
      </c>
      <c r="F20" s="7">
        <f t="shared" si="0"/>
        <v>4.6459051473389565E-2</v>
      </c>
      <c r="G20" s="1" t="s">
        <v>61</v>
      </c>
      <c r="H20" s="2">
        <f t="shared" si="1"/>
        <v>123.35080500000001</v>
      </c>
    </row>
    <row r="21" spans="1:8" ht="18">
      <c r="A21" s="1" t="s">
        <v>62</v>
      </c>
      <c r="B21" s="2">
        <f>0.092*B2+0.121*B3</f>
        <v>15857.701999999997</v>
      </c>
      <c r="D21" s="1" t="s">
        <v>62</v>
      </c>
      <c r="E21" s="2">
        <f>0.142*E1</f>
        <v>578.36599999999999</v>
      </c>
      <c r="F21" s="7">
        <f t="shared" si="0"/>
        <v>3.6472245474155091E-2</v>
      </c>
      <c r="G21" s="1" t="s">
        <v>62</v>
      </c>
      <c r="H21" s="2">
        <f t="shared" si="1"/>
        <v>389.240318</v>
      </c>
    </row>
    <row r="22" spans="1:8" ht="18">
      <c r="A22" s="1" t="s">
        <v>63</v>
      </c>
      <c r="D22" s="1" t="s">
        <v>63</v>
      </c>
      <c r="E22" s="2">
        <f>0.009*E1</f>
        <v>36.656999999999996</v>
      </c>
      <c r="F22" s="7" t="e">
        <f t="shared" si="0"/>
        <v>#DIV/0!</v>
      </c>
      <c r="G22" s="1" t="s">
        <v>63</v>
      </c>
      <c r="H22" s="2">
        <f t="shared" si="1"/>
        <v>24.670161</v>
      </c>
    </row>
    <row r="23" spans="1:8" ht="18">
      <c r="A23" s="1" t="s">
        <v>64</v>
      </c>
      <c r="B23" s="2">
        <f>0.032*B2+0.099*B3</f>
        <v>9918.1740000000009</v>
      </c>
      <c r="D23" s="1" t="s">
        <v>64</v>
      </c>
      <c r="E23" s="2">
        <f>0.013*E1</f>
        <v>52.948999999999998</v>
      </c>
      <c r="F23" s="7">
        <f t="shared" si="0"/>
        <v>5.3385834932922118E-3</v>
      </c>
      <c r="G23" s="1" t="s">
        <v>64</v>
      </c>
      <c r="H23" s="2">
        <f t="shared" si="1"/>
        <v>35.634677000000003</v>
      </c>
    </row>
    <row r="24" spans="1:8" ht="18">
      <c r="F24" s="7" t="e">
        <f t="shared" si="0"/>
        <v>#DIV/0!</v>
      </c>
    </row>
    <row r="25" spans="1:8" ht="18">
      <c r="A25" s="1" t="s">
        <v>65</v>
      </c>
      <c r="B25" s="2">
        <f>0.6*15579</f>
        <v>9347.4</v>
      </c>
      <c r="D25" s="1" t="s">
        <v>65</v>
      </c>
      <c r="E25" s="2">
        <f>0.006*E1</f>
        <v>24.437999999999999</v>
      </c>
      <c r="F25" s="7">
        <f t="shared" si="0"/>
        <v>2.6144168431863407E-3</v>
      </c>
      <c r="G25" s="1" t="s">
        <v>65</v>
      </c>
      <c r="H25" s="2">
        <f t="shared" si="1"/>
        <v>16.446774000000001</v>
      </c>
    </row>
    <row r="26" spans="1:8" ht="18">
      <c r="A26" s="1" t="s">
        <v>66</v>
      </c>
      <c r="B26" s="2">
        <f>0.4*15579+19054+0.2*14173</f>
        <v>28120.199999999997</v>
      </c>
      <c r="D26" s="1" t="s">
        <v>66</v>
      </c>
      <c r="E26" s="2">
        <f>0.16*E1</f>
        <v>651.68000000000006</v>
      </c>
      <c r="F26" s="7">
        <f t="shared" si="0"/>
        <v>2.3174799610244597E-2</v>
      </c>
      <c r="G26" s="1" t="s">
        <v>66</v>
      </c>
      <c r="H26" s="2">
        <f t="shared" si="1"/>
        <v>438.58064000000007</v>
      </c>
    </row>
    <row r="27" spans="1:8" ht="18">
      <c r="A27" s="1" t="s">
        <v>67</v>
      </c>
      <c r="B27" s="2">
        <f>0.8*14173+0.2*12407</f>
        <v>13819.800000000001</v>
      </c>
      <c r="D27" s="1" t="s">
        <v>67</v>
      </c>
      <c r="E27" s="2">
        <f>0.204*E1</f>
        <v>830.89199999999994</v>
      </c>
      <c r="F27" s="7">
        <f t="shared" si="0"/>
        <v>6.0123301350236608E-2</v>
      </c>
      <c r="G27" s="1" t="s">
        <v>67</v>
      </c>
      <c r="H27" s="2">
        <f t="shared" si="1"/>
        <v>559.19031599999994</v>
      </c>
    </row>
    <row r="28" spans="1:8" ht="18">
      <c r="A28" s="1" t="s">
        <v>68</v>
      </c>
      <c r="B28" s="2">
        <f>0.8*12407+11873+0.2*11627</f>
        <v>24124</v>
      </c>
      <c r="D28" s="1" t="s">
        <v>68</v>
      </c>
      <c r="E28" s="2">
        <f>0.28*E1</f>
        <v>1140.44</v>
      </c>
      <c r="F28" s="7">
        <f t="shared" si="0"/>
        <v>4.7274083899850772E-2</v>
      </c>
      <c r="G28" s="1" t="s">
        <v>68</v>
      </c>
      <c r="H28" s="2">
        <f t="shared" si="1"/>
        <v>767.51612000000011</v>
      </c>
    </row>
    <row r="29" spans="1:8" ht="18">
      <c r="A29" s="1" t="s">
        <v>69</v>
      </c>
      <c r="B29" s="2">
        <f>0.8*11627+11877+0.2*12196</f>
        <v>23617.8</v>
      </c>
      <c r="D29" s="1" t="s">
        <v>69</v>
      </c>
      <c r="E29" s="2">
        <f>0.224*E1</f>
        <v>912.35199999999998</v>
      </c>
      <c r="F29" s="7">
        <f t="shared" si="0"/>
        <v>3.8629846979820304E-2</v>
      </c>
      <c r="G29" s="1" t="s">
        <v>69</v>
      </c>
      <c r="H29" s="2">
        <f t="shared" si="1"/>
        <v>614.01289600000007</v>
      </c>
    </row>
    <row r="30" spans="1:8" ht="18">
      <c r="A30" s="1" t="s">
        <v>70</v>
      </c>
      <c r="B30" s="2">
        <f>B1-SUM(B25:B29)</f>
        <v>48953.8</v>
      </c>
      <c r="D30" s="1" t="s">
        <v>70</v>
      </c>
      <c r="E30" s="2">
        <f>0.125*E1</f>
        <v>509.125</v>
      </c>
      <c r="F30" s="7">
        <f t="shared" si="0"/>
        <v>1.0400111942280271E-2</v>
      </c>
      <c r="G30" s="1" t="s">
        <v>70</v>
      </c>
      <c r="H30" s="2">
        <f t="shared" si="1"/>
        <v>342.64112500000005</v>
      </c>
    </row>
    <row r="31" spans="1:8" ht="18">
      <c r="F31" s="7" t="e">
        <f t="shared" si="0"/>
        <v>#DIV/0!</v>
      </c>
    </row>
    <row r="32" spans="1:8" ht="18">
      <c r="A32" s="1" t="s">
        <v>71</v>
      </c>
      <c r="D32" s="1" t="s">
        <v>71</v>
      </c>
      <c r="E32" s="2">
        <f>0.128*E1</f>
        <v>521.34400000000005</v>
      </c>
      <c r="F32" s="7" t="e">
        <f t="shared" si="0"/>
        <v>#DIV/0!</v>
      </c>
      <c r="G32" s="1" t="s">
        <v>71</v>
      </c>
      <c r="H32" s="2">
        <f t="shared" si="1"/>
        <v>350.86451200000005</v>
      </c>
    </row>
    <row r="33" spans="1:8" ht="18">
      <c r="A33" s="1" t="s">
        <v>72</v>
      </c>
      <c r="D33" s="1" t="s">
        <v>72</v>
      </c>
      <c r="E33" s="2">
        <f>0.872*E1</f>
        <v>3551.6559999999999</v>
      </c>
      <c r="F33" s="7" t="e">
        <f t="shared" si="0"/>
        <v>#DIV/0!</v>
      </c>
      <c r="G33" s="1" t="s">
        <v>72</v>
      </c>
      <c r="H33" s="2">
        <f t="shared" si="1"/>
        <v>2390.2644880000003</v>
      </c>
    </row>
    <row r="34" spans="1:8" ht="18">
      <c r="F34" s="7" t="e">
        <f t="shared" si="0"/>
        <v>#DIV/0!</v>
      </c>
    </row>
    <row r="35" spans="1:8" ht="18">
      <c r="A35" s="1" t="s">
        <v>73</v>
      </c>
      <c r="D35" s="1" t="s">
        <v>73</v>
      </c>
      <c r="E35" s="2">
        <f>0.25*E1</f>
        <v>1018.25</v>
      </c>
      <c r="F35" s="7" t="e">
        <f t="shared" si="0"/>
        <v>#DIV/0!</v>
      </c>
      <c r="G35" s="1" t="s">
        <v>73</v>
      </c>
      <c r="H35" s="2">
        <f t="shared" si="1"/>
        <v>685.28225000000009</v>
      </c>
    </row>
    <row r="36" spans="1:8" ht="18">
      <c r="A36" s="1" t="s">
        <v>74</v>
      </c>
      <c r="D36" s="1" t="s">
        <v>74</v>
      </c>
      <c r="E36" s="2">
        <f>0.75*E1</f>
        <v>3054.75</v>
      </c>
      <c r="F36" s="7" t="e">
        <f t="shared" si="0"/>
        <v>#DIV/0!</v>
      </c>
      <c r="G36" s="1" t="s">
        <v>74</v>
      </c>
      <c r="H36" s="2">
        <f t="shared" si="1"/>
        <v>2055.8467500000002</v>
      </c>
    </row>
    <row r="37" spans="1:8" ht="18">
      <c r="F37" s="7" t="e">
        <f t="shared" si="0"/>
        <v>#DIV/0!</v>
      </c>
    </row>
    <row r="38" spans="1:8" ht="18">
      <c r="A38" s="1" t="s">
        <v>75</v>
      </c>
      <c r="D38" s="1" t="s">
        <v>75</v>
      </c>
      <c r="E38" s="2">
        <f>0.604*E1</f>
        <v>2460.0920000000001</v>
      </c>
      <c r="F38" s="7" t="e">
        <f t="shared" si="0"/>
        <v>#DIV/0!</v>
      </c>
      <c r="G38" s="1" t="s">
        <v>75</v>
      </c>
      <c r="H38" s="2">
        <f t="shared" si="1"/>
        <v>1655.6419160000003</v>
      </c>
    </row>
    <row r="39" spans="1:8" ht="18">
      <c r="A39" s="1" t="s">
        <v>76</v>
      </c>
      <c r="D39" s="1" t="s">
        <v>76</v>
      </c>
      <c r="E39" s="2">
        <f>0.396*E1</f>
        <v>1612.9080000000001</v>
      </c>
      <c r="F39" s="7" t="e">
        <f t="shared" si="0"/>
        <v>#DIV/0!</v>
      </c>
      <c r="G39" s="1" t="s">
        <v>76</v>
      </c>
      <c r="H39" s="2">
        <f t="shared" si="1"/>
        <v>1085.4870840000001</v>
      </c>
    </row>
    <row r="40" spans="1:8" ht="18">
      <c r="F40" s="7" t="e">
        <f t="shared" si="0"/>
        <v>#DIV/0!</v>
      </c>
    </row>
    <row r="41" spans="1:8" ht="18">
      <c r="A41" s="1" t="s">
        <v>77</v>
      </c>
      <c r="D41" s="1" t="s">
        <v>77</v>
      </c>
      <c r="E41" s="2">
        <f>0.453*E1</f>
        <v>1845.069</v>
      </c>
      <c r="F41" s="7" t="e">
        <f t="shared" si="0"/>
        <v>#DIV/0!</v>
      </c>
      <c r="G41" s="1" t="s">
        <v>77</v>
      </c>
      <c r="H41" s="2">
        <f t="shared" si="1"/>
        <v>1241.7314370000001</v>
      </c>
    </row>
    <row r="42" spans="1:8" ht="18">
      <c r="A42" s="1" t="s">
        <v>78</v>
      </c>
      <c r="D42" s="1" t="s">
        <v>78</v>
      </c>
      <c r="E42" s="2">
        <f>0.547*E1</f>
        <v>2227.931</v>
      </c>
      <c r="F42" s="7" t="e">
        <f t="shared" si="0"/>
        <v>#DIV/0!</v>
      </c>
      <c r="G42" s="1" t="s">
        <v>78</v>
      </c>
      <c r="H42" s="2">
        <f t="shared" si="1"/>
        <v>1499.3975630000002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Ruler="0" workbookViewId="0">
      <selection activeCell="A5" sqref="A5"/>
    </sheetView>
  </sheetViews>
  <sheetFormatPr baseColWidth="10" defaultRowHeight="15" x14ac:dyDescent="0"/>
  <cols>
    <col min="1" max="1" width="149.83203125" bestFit="1" customWidth="1"/>
  </cols>
  <sheetData>
    <row r="1" spans="1:1">
      <c r="A1" t="s">
        <v>79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Admissions by Year</vt:lpstr>
      <vt:lpstr>Worcester 2014</vt:lpstr>
      <vt:lpstr>Notes</vt:lpstr>
    </vt:vector>
  </TitlesOfParts>
  <Company>MITRE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 Anuj</dc:creator>
  <cp:lastModifiedBy>Misra Anuj</cp:lastModifiedBy>
  <dcterms:created xsi:type="dcterms:W3CDTF">2015-08-24T13:19:36Z</dcterms:created>
  <dcterms:modified xsi:type="dcterms:W3CDTF">2015-08-25T21:29:54Z</dcterms:modified>
</cp:coreProperties>
</file>